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20490" windowHeight="7230" tabRatio="906"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1000"/>
</workbook>
</file>

<file path=xl/calcChain.xml><?xml version="1.0" encoding="utf-8"?>
<calcChain xmlns="http://schemas.openxmlformats.org/spreadsheetml/2006/main">
  <c r="P58" i="15" l="1"/>
  <c r="S58" i="15" s="1"/>
  <c r="P25" i="15"/>
  <c r="P54" i="15"/>
  <c r="P56" i="15"/>
  <c r="P55" i="15"/>
  <c r="G124" i="15" l="1"/>
  <c r="S110" i="15" l="1"/>
  <c r="S74" i="15"/>
  <c r="S12" i="15"/>
  <c r="P12" i="15"/>
  <c r="P70" i="15"/>
  <c r="P73" i="15"/>
  <c r="L26" i="3"/>
  <c r="L25" i="3"/>
  <c r="P123" i="15"/>
  <c r="S55" i="15"/>
  <c r="S121" i="15"/>
  <c r="S119" i="15"/>
  <c r="P60" i="15"/>
  <c r="S60" i="15" s="1"/>
  <c r="S98" i="15"/>
  <c r="S100" i="15"/>
  <c r="S101" i="15"/>
  <c r="S102" i="15"/>
  <c r="S97" i="15"/>
  <c r="P127" i="15"/>
  <c r="P79" i="15"/>
  <c r="G30" i="15"/>
  <c r="S109" i="15"/>
  <c r="S107" i="15"/>
  <c r="P30" i="15"/>
  <c r="P37" i="15"/>
  <c r="S124" i="15" l="1"/>
  <c r="P35" i="15"/>
  <c r="S25" i="15"/>
  <c r="K1028" i="61" l="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B30" i="61" l="1"/>
  <c r="J1683" i="61" l="1"/>
  <c r="K1680" i="61"/>
  <c r="T1680" i="61" s="1"/>
  <c r="L1680" i="61"/>
  <c r="U1680" i="61" s="1"/>
  <c r="K1681" i="61"/>
  <c r="T1681" i="61" s="1"/>
  <c r="L1681" i="61"/>
  <c r="U1681" i="61" s="1"/>
  <c r="K1682" i="61"/>
  <c r="T1682" i="61" s="1"/>
  <c r="L1682" i="61"/>
  <c r="U1682" i="61" s="1"/>
  <c r="K1679" i="61"/>
  <c r="T1679" i="61" s="1"/>
  <c r="L1679" i="61"/>
  <c r="U1679" i="61" s="1"/>
  <c r="K1683" i="61"/>
  <c r="T1683" i="61" s="1"/>
  <c r="L1683" i="61"/>
  <c r="U1683" i="61" s="1"/>
  <c r="M1679" i="61" l="1"/>
  <c r="T163" i="11"/>
  <c r="U163" i="11"/>
  <c r="T164" i="11"/>
  <c r="U164" i="11"/>
  <c r="T165" i="11"/>
  <c r="U165" i="11"/>
  <c r="T166" i="11"/>
  <c r="U166" i="11"/>
  <c r="U162" i="11"/>
  <c r="T162" i="11"/>
  <c r="M162" i="11" s="1"/>
  <c r="A4" i="41" l="1"/>
  <c r="P332" i="11" l="1"/>
  <c r="O332" i="11"/>
  <c r="P1679" i="61" l="1"/>
  <c r="S1679" i="61" s="1"/>
  <c r="J52" i="61" l="1"/>
  <c r="G52" i="61"/>
  <c r="J33" i="61" l="1"/>
  <c r="J8" i="7"/>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F1065" i="61"/>
  <c r="E1065" i="61"/>
  <c r="D1065" i="61"/>
  <c r="C1065" i="61"/>
  <c r="B1065" i="61"/>
  <c r="G1064" i="61"/>
  <c r="F1064" i="61"/>
  <c r="E1064" i="61"/>
  <c r="D1064" i="61"/>
  <c r="C1064" i="61"/>
  <c r="B1064" i="61"/>
  <c r="G1063" i="61"/>
  <c r="F1063" i="61"/>
  <c r="E1063" i="61"/>
  <c r="D1063" i="61"/>
  <c r="C1063" i="61"/>
  <c r="B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CU753" i="61" s="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8" i="61"/>
  <c r="P553" i="61"/>
  <c r="P552" i="61"/>
  <c r="M553" i="61"/>
  <c r="M552" i="61"/>
  <c r="J553"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7" i="61"/>
  <c r="S526" i="61"/>
  <c r="S525" i="61"/>
  <c r="G526" i="61"/>
  <c r="G527"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N99" i="61" l="1"/>
  <c r="K909"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V493" i="61"/>
  <c r="U519" i="61"/>
  <c r="G512" i="61"/>
  <c r="G493" i="61"/>
  <c r="G462" i="61"/>
  <c r="F464" i="61" s="1"/>
  <c r="A532" i="61"/>
  <c r="A519" i="61"/>
  <c r="U444" i="61"/>
  <c r="A443" i="61"/>
  <c r="L393" i="61"/>
  <c r="L356" i="61"/>
  <c r="E954" i="61"/>
  <c r="P76" i="7"/>
  <c r="P74" i="7"/>
  <c r="P73" i="7"/>
  <c r="M560" i="61" l="1"/>
  <c r="M577" i="61" s="1"/>
  <c r="M579" i="61" s="1"/>
  <c r="M581" i="61" s="1"/>
  <c r="V560" i="61"/>
  <c r="P560" i="61"/>
  <c r="P577" i="61" s="1"/>
  <c r="P579" i="61" s="1"/>
  <c r="P581" i="61" s="1"/>
  <c r="J560" i="61"/>
  <c r="J577" i="61" s="1"/>
  <c r="J579" i="61" s="1"/>
  <c r="J581" i="61" s="1"/>
  <c r="EH791" i="61"/>
  <c r="J821" i="61" s="1"/>
  <c r="F465"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L850" i="61" l="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J925" i="61" l="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K1019" i="61" s="1"/>
  <c r="O150" i="59"/>
  <c r="J78" i="8" s="1"/>
  <c r="J1019" i="61" s="1"/>
  <c r="N150" i="59"/>
  <c r="I78" i="8" s="1"/>
  <c r="I1019" i="61" s="1"/>
  <c r="M150" i="59"/>
  <c r="H78" i="8" s="1"/>
  <c r="H1019" i="61" s="1"/>
  <c r="L150" i="59"/>
  <c r="G78" i="8" s="1"/>
  <c r="G1019" i="61" s="1"/>
  <c r="K150" i="59"/>
  <c r="F78" i="8" s="1"/>
  <c r="F1019" i="61" s="1"/>
  <c r="J150" i="59"/>
  <c r="E78" i="8" s="1"/>
  <c r="E1019" i="61" s="1"/>
  <c r="I150" i="59"/>
  <c r="D78" i="8" s="1"/>
  <c r="D1019" i="61" s="1"/>
  <c r="H150" i="59"/>
  <c r="C78" i="8" s="1"/>
  <c r="C1019" i="61" s="1"/>
  <c r="G150" i="59"/>
  <c r="B78" i="8" s="1"/>
  <c r="B1019" i="61" s="1"/>
  <c r="U147" i="59"/>
  <c r="P146" i="59"/>
  <c r="K77" i="8" s="1"/>
  <c r="K1018" i="61" s="1"/>
  <c r="O146" i="59"/>
  <c r="J77" i="8" s="1"/>
  <c r="J1018" i="61" s="1"/>
  <c r="N146" i="59"/>
  <c r="I77" i="8" s="1"/>
  <c r="I1018" i="61" s="1"/>
  <c r="M146" i="59"/>
  <c r="H77" i="8" s="1"/>
  <c r="H1018" i="61" s="1"/>
  <c r="L146" i="59"/>
  <c r="G77" i="8" s="1"/>
  <c r="G1018" i="61" s="1"/>
  <c r="K146" i="59"/>
  <c r="F77" i="8" s="1"/>
  <c r="F1018" i="61" s="1"/>
  <c r="J146" i="59"/>
  <c r="E77" i="8" s="1"/>
  <c r="E1018" i="61" s="1"/>
  <c r="I146" i="59"/>
  <c r="D77" i="8" s="1"/>
  <c r="D1018" i="61" s="1"/>
  <c r="H146" i="59"/>
  <c r="C77" i="8" s="1"/>
  <c r="C1018" i="61" s="1"/>
  <c r="G146" i="59"/>
  <c r="B77" i="8" s="1"/>
  <c r="B1018" i="61" s="1"/>
  <c r="U143" i="59"/>
  <c r="P141" i="59"/>
  <c r="K48" i="8" s="1"/>
  <c r="K989" i="61" s="1"/>
  <c r="O141" i="59"/>
  <c r="J48" i="8" s="1"/>
  <c r="J989" i="61" s="1"/>
  <c r="N141" i="59"/>
  <c r="I48" i="8" s="1"/>
  <c r="I989" i="61" s="1"/>
  <c r="M141" i="59"/>
  <c r="H48" i="8" s="1"/>
  <c r="H989" i="61" s="1"/>
  <c r="L141" i="59"/>
  <c r="G48" i="8" s="1"/>
  <c r="G989" i="61" s="1"/>
  <c r="K141" i="59"/>
  <c r="F48" i="8" s="1"/>
  <c r="F989" i="61" s="1"/>
  <c r="J141" i="59"/>
  <c r="E48" i="8" s="1"/>
  <c r="E989" i="61" s="1"/>
  <c r="I141" i="59"/>
  <c r="D48" i="8" s="1"/>
  <c r="D989" i="61" s="1"/>
  <c r="H141" i="59"/>
  <c r="C48" i="8" s="1"/>
  <c r="C989" i="61" s="1"/>
  <c r="G141" i="59"/>
  <c r="B48" i="8" s="1"/>
  <c r="B989" i="61" s="1"/>
  <c r="U138" i="59"/>
  <c r="P137" i="59"/>
  <c r="K47" i="8" s="1"/>
  <c r="K988" i="61" s="1"/>
  <c r="O137" i="59"/>
  <c r="J47" i="8" s="1"/>
  <c r="J988" i="61" s="1"/>
  <c r="N137" i="59"/>
  <c r="I47" i="8" s="1"/>
  <c r="I988" i="61" s="1"/>
  <c r="M137" i="59"/>
  <c r="H47" i="8" s="1"/>
  <c r="H988" i="61" s="1"/>
  <c r="L137" i="59"/>
  <c r="G47" i="8" s="1"/>
  <c r="G988" i="61" s="1"/>
  <c r="K137" i="59"/>
  <c r="F47" i="8" s="1"/>
  <c r="F988" i="61" s="1"/>
  <c r="J137" i="59"/>
  <c r="E47" i="8" s="1"/>
  <c r="E988" i="61" s="1"/>
  <c r="I137" i="59"/>
  <c r="D47" i="8" s="1"/>
  <c r="D988" i="61" s="1"/>
  <c r="H137" i="59"/>
  <c r="C47" i="8" s="1"/>
  <c r="C988" i="61" s="1"/>
  <c r="G137" i="59"/>
  <c r="B47" i="8" s="1"/>
  <c r="B988" i="61" s="1"/>
  <c r="U134" i="59"/>
  <c r="P132" i="59"/>
  <c r="K18" i="8" s="1"/>
  <c r="K959" i="61" s="1"/>
  <c r="O132" i="59"/>
  <c r="J18" i="8" s="1"/>
  <c r="J959" i="61" s="1"/>
  <c r="N132" i="59"/>
  <c r="I18" i="8" s="1"/>
  <c r="I959" i="61" s="1"/>
  <c r="M132" i="59"/>
  <c r="H18" i="8" s="1"/>
  <c r="H959" i="61" s="1"/>
  <c r="L132" i="59"/>
  <c r="G18" i="8" s="1"/>
  <c r="G959" i="61" s="1"/>
  <c r="K132" i="59"/>
  <c r="F18" i="8" s="1"/>
  <c r="F959" i="61" s="1"/>
  <c r="J132" i="59"/>
  <c r="E18" i="8" s="1"/>
  <c r="E959" i="61" s="1"/>
  <c r="I132" i="59"/>
  <c r="D18" i="8" s="1"/>
  <c r="D959" i="61" s="1"/>
  <c r="H132" i="59"/>
  <c r="C18" i="8" s="1"/>
  <c r="C959" i="61" s="1"/>
  <c r="G132" i="59"/>
  <c r="B18" i="8" s="1"/>
  <c r="B959" i="61" s="1"/>
  <c r="U129" i="59"/>
  <c r="P128" i="59"/>
  <c r="K17" i="8" s="1"/>
  <c r="K958" i="61" s="1"/>
  <c r="O128" i="59"/>
  <c r="J17" i="8" s="1"/>
  <c r="J958" i="61" s="1"/>
  <c r="N128" i="59"/>
  <c r="I17" i="8" s="1"/>
  <c r="I958" i="61" s="1"/>
  <c r="M128" i="59"/>
  <c r="H17" i="8" s="1"/>
  <c r="H958" i="61" s="1"/>
  <c r="L128" i="59"/>
  <c r="G17" i="8" s="1"/>
  <c r="G958" i="61" s="1"/>
  <c r="K128" i="59"/>
  <c r="F17" i="8" s="1"/>
  <c r="F958" i="61" s="1"/>
  <c r="J128" i="59"/>
  <c r="E17" i="8" s="1"/>
  <c r="E958" i="61" s="1"/>
  <c r="I128" i="59"/>
  <c r="D17" i="8" s="1"/>
  <c r="D958" i="61" s="1"/>
  <c r="H128" i="59"/>
  <c r="C17" i="8" s="1"/>
  <c r="C958" i="61" s="1"/>
  <c r="G128" i="59"/>
  <c r="B17" i="8" s="1"/>
  <c r="B958" i="61"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R12" i="59" l="1"/>
  <c r="R755" i="61" s="1"/>
  <c r="R14" i="59"/>
  <c r="R757" i="61" s="1"/>
  <c r="R13" i="59"/>
  <c r="R756" i="61" s="1"/>
  <c r="R10" i="59"/>
  <c r="R753" i="61" s="1"/>
  <c r="R15" i="59"/>
  <c r="R758" i="61" s="1"/>
  <c r="Q758" i="61"/>
  <c r="P69" i="61"/>
  <c r="L1835" i="61"/>
  <c r="L318" i="11"/>
  <c r="N69" i="61"/>
  <c r="J1743" i="61"/>
  <c r="J226" i="11"/>
  <c r="R11" i="59"/>
  <c r="R754" i="61" s="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F59" i="6" l="1"/>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B955" i="61" s="1"/>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B956" i="61" s="1"/>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H76" i="61" l="1"/>
  <c r="H80" i="61" s="1"/>
  <c r="H82" i="61" s="1"/>
  <c r="E529" i="61"/>
  <c r="I1819" i="61"/>
  <c r="I302" i="1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J1642" i="61"/>
  <c r="L1642" i="61" s="1"/>
  <c r="N98" i="61"/>
  <c r="L1842" i="61"/>
  <c r="L1843" i="61" s="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J586" i="61"/>
  <c r="D984" i="61"/>
  <c r="B21" i="8" l="1"/>
  <c r="B962" i="61" s="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l="1"/>
  <c r="J391" i="11"/>
  <c r="I391" i="11"/>
  <c r="K387" i="11"/>
  <c r="H388" i="11"/>
  <c r="O378" i="11" s="1"/>
  <c r="P378" i="11" l="1"/>
  <c r="J165" i="11" s="1"/>
  <c r="J1682" i="61" s="1"/>
  <c r="O1895" i="61"/>
  <c r="I165" i="11"/>
  <c r="G984" i="61"/>
  <c r="L356" i="11"/>
  <c r="L355" i="11"/>
  <c r="I1682" i="61" l="1"/>
  <c r="O165" i="11"/>
  <c r="P1895" i="61"/>
  <c r="H984" i="61"/>
  <c r="L341" i="11"/>
  <c r="I984" i="61" l="1"/>
  <c r="P1819" i="61"/>
  <c r="J984" i="61" l="1"/>
  <c r="D245" i="11"/>
  <c r="L245" i="11"/>
  <c r="K984" i="61" l="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R165" i="11" l="1"/>
  <c r="O1682" i="61"/>
  <c r="R1682" i="61" s="1"/>
  <c r="D1014" i="61"/>
  <c r="P122" i="11"/>
  <c r="P1639" i="61" s="1"/>
  <c r="O122" i="11"/>
  <c r="O1639" i="61" s="1"/>
  <c r="Q117" i="11"/>
  <c r="E1014" i="61" l="1"/>
  <c r="L253" i="11"/>
  <c r="L251" i="11"/>
  <c r="F1014" i="61" l="1"/>
  <c r="L347" i="11"/>
  <c r="G1014" i="61" l="1"/>
  <c r="F230" i="11"/>
  <c r="F229" i="11"/>
  <c r="F226" i="11"/>
  <c r="G230" i="11"/>
  <c r="G229" i="11"/>
  <c r="G226" i="11"/>
  <c r="G225" i="11"/>
  <c r="C230" i="11"/>
  <c r="C229" i="11"/>
  <c r="C226" i="11"/>
  <c r="C225" i="11"/>
  <c r="H1014" i="61" l="1"/>
  <c r="J174" i="11"/>
  <c r="I1014" i="61" l="1"/>
  <c r="J1014" i="61" l="1"/>
  <c r="K1014" i="61" l="1"/>
  <c r="B1044" i="61" l="1"/>
  <c r="O164" i="15"/>
  <c r="A2" i="41"/>
  <c r="M387" i="11"/>
  <c r="C1044" i="61" l="1"/>
  <c r="V145" i="15"/>
  <c r="V129" i="15"/>
  <c r="V125" i="15"/>
  <c r="V117" i="15"/>
  <c r="V111" i="15"/>
  <c r="V105" i="15"/>
  <c r="V91" i="15"/>
  <c r="V83" i="15"/>
  <c r="V77" i="15"/>
  <c r="V38" i="15"/>
  <c r="V33" i="15"/>
  <c r="V27" i="15"/>
  <c r="V23" i="15"/>
  <c r="V17" i="15"/>
  <c r="D1044" i="61" l="1"/>
  <c r="V131" i="15"/>
  <c r="E1044" i="61" l="1"/>
  <c r="H4" i="51"/>
  <c r="E4" i="51"/>
  <c r="F1044" i="61" l="1"/>
  <c r="D56" i="51"/>
  <c r="E56" i="51"/>
  <c r="F56" i="51"/>
  <c r="G56" i="51"/>
  <c r="H5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I163" i="11"/>
  <c r="O163" i="11" s="1"/>
  <c r="P1560" i="61"/>
  <c r="J162" i="11"/>
  <c r="J1679" i="61" s="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3" i="54" l="1"/>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C141" i="55"/>
  <c r="B3" i="57"/>
  <c r="E15" i="54"/>
  <c r="H3" i="57" s="1"/>
  <c r="C28" i="55"/>
  <c r="A2" i="50"/>
  <c r="F12" i="49"/>
  <c r="A1" i="54"/>
  <c r="C34" i="50"/>
  <c r="E65" i="54"/>
  <c r="E5" i="54"/>
  <c r="F84" i="57"/>
  <c r="A2" i="48"/>
  <c r="B2" i="53"/>
  <c r="A1" i="52"/>
  <c r="A47" i="50"/>
  <c r="J367" i="11"/>
  <c r="P362" i="11" l="1"/>
  <c r="P1879" i="61" s="1"/>
  <c r="O362" i="11"/>
  <c r="O1879" i="61" s="1"/>
  <c r="P409" i="11" l="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M1905" i="61"/>
  <c r="A3" i="61"/>
  <c r="A1965" i="61"/>
  <c r="A364" i="61"/>
  <c r="M1907" i="61"/>
  <c r="G1762" i="61"/>
  <c r="I697" i="61"/>
  <c r="J54" i="61"/>
  <c r="A3" i="41"/>
  <c r="M390" i="11"/>
  <c r="M388" i="11"/>
  <c r="G245" i="11"/>
  <c r="C45" i="55"/>
  <c r="C33" i="57"/>
  <c r="E17" i="54"/>
  <c r="C31" i="55" s="1"/>
  <c r="I30" i="7"/>
  <c r="I55" i="61" s="1"/>
  <c r="H8" i="50"/>
  <c r="F14" i="49" s="1"/>
  <c r="A3" i="48" s="1"/>
  <c r="B28" i="8" l="1"/>
  <c r="B969" i="61" s="1"/>
  <c r="L316" i="11" l="1"/>
  <c r="I288" i="11"/>
  <c r="L249" i="11"/>
  <c r="G222" i="11"/>
  <c r="H222" i="11" s="1"/>
  <c r="J173" i="11"/>
  <c r="P185" i="11" s="1"/>
  <c r="I88" i="11"/>
  <c r="J65" i="11"/>
  <c r="O86" i="11" l="1"/>
  <c r="O1603" i="61" s="1"/>
  <c r="P86" i="11"/>
  <c r="P1603" i="61" s="1"/>
  <c r="O185" i="11"/>
  <c r="O1702" i="61" s="1"/>
  <c r="P1702" i="6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K55" i="61"/>
  <c r="L1739" i="61"/>
  <c r="M1908" i="61"/>
  <c r="P1792" i="61"/>
  <c r="J164" i="11"/>
  <c r="J1681" i="61" s="1"/>
  <c r="O1792" i="61"/>
  <c r="R1792" i="61" s="1"/>
  <c r="I164" i="11"/>
  <c r="O164" i="11" s="1"/>
  <c r="L222" i="11"/>
  <c r="H15" i="50"/>
  <c r="F18" i="49" s="1"/>
  <c r="I1681" i="61" l="1"/>
  <c r="N40" i="3"/>
  <c r="N403" i="61" s="1"/>
  <c r="N39" i="3"/>
  <c r="N402" i="61" s="1"/>
  <c r="N38" i="3"/>
  <c r="N401" i="61" s="1"/>
  <c r="U62" i="15"/>
  <c r="A62" i="15"/>
  <c r="W40" i="15"/>
  <c r="O40" i="15"/>
  <c r="E37" i="15"/>
  <c r="E36" i="15"/>
  <c r="S38" i="15"/>
  <c r="P38" i="15"/>
  <c r="M38" i="15"/>
  <c r="J38" i="15"/>
  <c r="S33" i="15"/>
  <c r="P33" i="15"/>
  <c r="M33" i="15"/>
  <c r="J33" i="15"/>
  <c r="G33" i="15"/>
  <c r="R164" i="11" l="1"/>
  <c r="O1681" i="61"/>
  <c r="R1681" i="61" s="1"/>
  <c r="F115" i="8"/>
  <c r="F123" i="8" s="1"/>
  <c r="B115" i="8"/>
  <c r="B123" i="8" s="1"/>
  <c r="E115" i="8"/>
  <c r="E123" i="8" s="1"/>
  <c r="C115" i="8"/>
  <c r="C123" i="8" s="1"/>
  <c r="D115" i="8"/>
  <c r="D123" i="8" s="1"/>
  <c r="D116" i="8"/>
  <c r="D124" i="8" s="1"/>
  <c r="C116" i="8"/>
  <c r="C124" i="8" s="1"/>
  <c r="F116" i="8"/>
  <c r="F124" i="8" s="1"/>
  <c r="B116" i="8"/>
  <c r="B124" i="8" s="1"/>
  <c r="E116" i="8"/>
  <c r="E124" i="8" s="1"/>
  <c r="D114" i="8"/>
  <c r="D122" i="8" s="1"/>
  <c r="C114" i="8"/>
  <c r="C122" i="8" s="1"/>
  <c r="F114" i="8"/>
  <c r="F122" i="8" s="1"/>
  <c r="B114" i="8"/>
  <c r="B122" i="8" s="1"/>
  <c r="E114" i="8"/>
  <c r="E122" i="8" s="1"/>
  <c r="B25" i="8"/>
  <c r="B24" i="8"/>
  <c r="B26" i="8"/>
  <c r="B965" i="61" l="1"/>
  <c r="B973" i="61" s="1"/>
  <c r="B32" i="8"/>
  <c r="B966" i="61"/>
  <c r="B974" i="61" s="1"/>
  <c r="B33" i="8"/>
  <c r="B967" i="61"/>
  <c r="B975" i="61" s="1"/>
  <c r="B34" i="8"/>
  <c r="J75" i="6"/>
  <c r="F1066" i="61" l="1"/>
  <c r="F1062" i="61"/>
  <c r="C1066" i="61"/>
  <c r="C1062" i="61"/>
  <c r="B1066" i="61"/>
  <c r="B1062" i="61"/>
  <c r="E1066" i="61"/>
  <c r="E1062" i="61"/>
  <c r="D1062" i="61"/>
  <c r="D1066" i="61"/>
  <c r="I269" i="11" l="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0" i="8"/>
  <c r="B981" i="61" s="1"/>
  <c r="B39" i="8"/>
  <c r="B980" i="61" s="1"/>
  <c r="B38" i="8"/>
  <c r="B979" i="61" s="1"/>
  <c r="W137" i="15"/>
  <c r="N79" i="11"/>
  <c r="C11" i="51" l="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E965" i="61" l="1"/>
  <c r="E973" i="61" s="1"/>
  <c r="E32" i="8"/>
  <c r="H966" i="61"/>
  <c r="H974" i="61" s="1"/>
  <c r="H33" i="8"/>
  <c r="K967" i="61"/>
  <c r="K975" i="61" s="1"/>
  <c r="K34" i="8"/>
  <c r="C996" i="61"/>
  <c r="C1004" i="61" s="1"/>
  <c r="C63" i="8"/>
  <c r="E997" i="61"/>
  <c r="E1005" i="61" s="1"/>
  <c r="E64" i="8"/>
  <c r="G1025" i="61"/>
  <c r="G1033" i="61" s="1"/>
  <c r="G92" i="8"/>
  <c r="E1026" i="61"/>
  <c r="E1034" i="61" s="1"/>
  <c r="E93" i="8"/>
  <c r="C1027" i="61"/>
  <c r="C1035" i="61" s="1"/>
  <c r="C94" i="8"/>
  <c r="K1027" i="61"/>
  <c r="K1035" i="61" s="1"/>
  <c r="K94" i="8"/>
  <c r="F965" i="61"/>
  <c r="F973" i="61" s="1"/>
  <c r="F32" i="8"/>
  <c r="J965" i="61"/>
  <c r="J973" i="61" s="1"/>
  <c r="J32" i="8"/>
  <c r="E966" i="61"/>
  <c r="E974" i="61" s="1"/>
  <c r="E33" i="8"/>
  <c r="I966" i="61"/>
  <c r="I974" i="61" s="1"/>
  <c r="I33" i="8"/>
  <c r="D967" i="61"/>
  <c r="D975" i="61" s="1"/>
  <c r="D34" i="8"/>
  <c r="H967" i="61"/>
  <c r="H975" i="61" s="1"/>
  <c r="H34" i="8"/>
  <c r="B995" i="61"/>
  <c r="B1003" i="61" s="1"/>
  <c r="B62" i="8"/>
  <c r="F995" i="61"/>
  <c r="F1003" i="61" s="1"/>
  <c r="F62" i="8"/>
  <c r="J995" i="61"/>
  <c r="J1003" i="61" s="1"/>
  <c r="J62" i="8"/>
  <c r="D996" i="61"/>
  <c r="D1004" i="61" s="1"/>
  <c r="D63" i="8"/>
  <c r="H996" i="61"/>
  <c r="H1004" i="61" s="1"/>
  <c r="H63" i="8"/>
  <c r="B997" i="61"/>
  <c r="B1005" i="61" s="1"/>
  <c r="B64" i="8"/>
  <c r="F997" i="61"/>
  <c r="F1005" i="61" s="1"/>
  <c r="F64" i="8"/>
  <c r="J997" i="61"/>
  <c r="J1005" i="61" s="1"/>
  <c r="J64" i="8"/>
  <c r="D1025" i="61"/>
  <c r="D1033" i="61" s="1"/>
  <c r="D92" i="8"/>
  <c r="H1025" i="61"/>
  <c r="H1033" i="61" s="1"/>
  <c r="H92" i="8"/>
  <c r="B1026" i="61"/>
  <c r="B1034" i="61" s="1"/>
  <c r="B93" i="8"/>
  <c r="F1026" i="61"/>
  <c r="F1034" i="61" s="1"/>
  <c r="F93" i="8"/>
  <c r="J1026" i="61"/>
  <c r="J1034" i="61" s="1"/>
  <c r="J93" i="8"/>
  <c r="D1027" i="61"/>
  <c r="D1035" i="61" s="1"/>
  <c r="D94" i="8"/>
  <c r="H1027" i="61"/>
  <c r="H1035" i="61" s="1"/>
  <c r="H94" i="8"/>
  <c r="D966" i="61"/>
  <c r="D974" i="61" s="1"/>
  <c r="D33" i="8"/>
  <c r="G967" i="61"/>
  <c r="G975" i="61" s="1"/>
  <c r="G34" i="8"/>
  <c r="E995" i="61"/>
  <c r="E1003" i="61" s="1"/>
  <c r="E62" i="8"/>
  <c r="G996" i="61"/>
  <c r="G1004" i="61" s="1"/>
  <c r="G63" i="8"/>
  <c r="I997" i="61"/>
  <c r="I1005" i="61" s="1"/>
  <c r="I64" i="8"/>
  <c r="K1025" i="61"/>
  <c r="K1033" i="61" s="1"/>
  <c r="K92" i="8"/>
  <c r="G1027" i="61"/>
  <c r="G1035" i="61" s="1"/>
  <c r="G94" i="8"/>
  <c r="G965" i="61"/>
  <c r="G973" i="61" s="1"/>
  <c r="G32" i="8"/>
  <c r="F966" i="61"/>
  <c r="F974" i="61" s="1"/>
  <c r="F33" i="8"/>
  <c r="J966" i="61"/>
  <c r="J974" i="61" s="1"/>
  <c r="J33" i="8"/>
  <c r="E967" i="61"/>
  <c r="E975" i="61" s="1"/>
  <c r="E34" i="8"/>
  <c r="I967" i="61"/>
  <c r="I975" i="61" s="1"/>
  <c r="I34" i="8"/>
  <c r="C995" i="61"/>
  <c r="C1003" i="61" s="1"/>
  <c r="C62" i="8"/>
  <c r="G995" i="61"/>
  <c r="G1003" i="61" s="1"/>
  <c r="G62" i="8"/>
  <c r="K995" i="61"/>
  <c r="K1003" i="61" s="1"/>
  <c r="K62" i="8"/>
  <c r="E996" i="61"/>
  <c r="E1004" i="61" s="1"/>
  <c r="E63" i="8"/>
  <c r="I996" i="61"/>
  <c r="I1004" i="61" s="1"/>
  <c r="I63" i="8"/>
  <c r="C997" i="61"/>
  <c r="C1005" i="61" s="1"/>
  <c r="C64" i="8"/>
  <c r="G997" i="61"/>
  <c r="G1005" i="61" s="1"/>
  <c r="G64" i="8"/>
  <c r="K997" i="61"/>
  <c r="K1005" i="61" s="1"/>
  <c r="K64" i="8"/>
  <c r="E1025" i="61"/>
  <c r="E1033" i="61" s="1"/>
  <c r="E92" i="8"/>
  <c r="I1025" i="61"/>
  <c r="I1033" i="61" s="1"/>
  <c r="I92" i="8"/>
  <c r="C1026" i="61"/>
  <c r="C1034" i="61" s="1"/>
  <c r="C93" i="8"/>
  <c r="G1026" i="61"/>
  <c r="G1034" i="61" s="1"/>
  <c r="G93" i="8"/>
  <c r="K1026" i="61"/>
  <c r="K1034" i="61" s="1"/>
  <c r="K93" i="8"/>
  <c r="E1027" i="61"/>
  <c r="E1035" i="61" s="1"/>
  <c r="E94" i="8"/>
  <c r="I1027" i="61"/>
  <c r="I1035" i="61" s="1"/>
  <c r="I94" i="8"/>
  <c r="I965" i="61"/>
  <c r="I973" i="61" s="1"/>
  <c r="I32" i="8"/>
  <c r="C967" i="61"/>
  <c r="C975" i="61" s="1"/>
  <c r="C34" i="8"/>
  <c r="I995" i="61"/>
  <c r="I1003" i="61" s="1"/>
  <c r="I62" i="8"/>
  <c r="K996" i="61"/>
  <c r="K1004" i="61" s="1"/>
  <c r="K63" i="8"/>
  <c r="C1025" i="61"/>
  <c r="C1033" i="61" s="1"/>
  <c r="C92" i="8"/>
  <c r="I1026" i="61"/>
  <c r="I1034" i="61" s="1"/>
  <c r="I93" i="8"/>
  <c r="C965" i="61"/>
  <c r="C973" i="61" s="1"/>
  <c r="C32" i="8"/>
  <c r="K965" i="61"/>
  <c r="K973" i="61" s="1"/>
  <c r="K32" i="8"/>
  <c r="D965" i="61"/>
  <c r="D973" i="61" s="1"/>
  <c r="D32" i="8"/>
  <c r="H965" i="61"/>
  <c r="H973" i="61" s="1"/>
  <c r="H32" i="8"/>
  <c r="C966" i="61"/>
  <c r="C974" i="61" s="1"/>
  <c r="C33" i="8"/>
  <c r="G966" i="61"/>
  <c r="G974" i="61" s="1"/>
  <c r="G33" i="8"/>
  <c r="K966" i="61"/>
  <c r="K974" i="61" s="1"/>
  <c r="K33" i="8"/>
  <c r="F967" i="61"/>
  <c r="F975" i="61" s="1"/>
  <c r="F34" i="8"/>
  <c r="J967" i="61"/>
  <c r="J975" i="61" s="1"/>
  <c r="J34" i="8"/>
  <c r="D995" i="61"/>
  <c r="D1003" i="61" s="1"/>
  <c r="D62" i="8"/>
  <c r="H995" i="61"/>
  <c r="H1003" i="61" s="1"/>
  <c r="H62" i="8"/>
  <c r="B996" i="61"/>
  <c r="B1004" i="61" s="1"/>
  <c r="B63" i="8"/>
  <c r="F996" i="61"/>
  <c r="F1004" i="61" s="1"/>
  <c r="F63" i="8"/>
  <c r="J996" i="61"/>
  <c r="J1004" i="61" s="1"/>
  <c r="J63" i="8"/>
  <c r="D997" i="61"/>
  <c r="D1005" i="61" s="1"/>
  <c r="D64" i="8"/>
  <c r="H997" i="61"/>
  <c r="H1005" i="61" s="1"/>
  <c r="H64" i="8"/>
  <c r="B1025" i="61"/>
  <c r="B1033" i="61" s="1"/>
  <c r="B92" i="8"/>
  <c r="F1025" i="61"/>
  <c r="F1033" i="61" s="1"/>
  <c r="F92" i="8"/>
  <c r="J1025" i="61"/>
  <c r="J1033" i="61" s="1"/>
  <c r="J92" i="8"/>
  <c r="D1026" i="61"/>
  <c r="D1034" i="61" s="1"/>
  <c r="D93" i="8"/>
  <c r="H1026" i="61"/>
  <c r="H1034" i="61" s="1"/>
  <c r="H93" i="8"/>
  <c r="B1027" i="61"/>
  <c r="B1035" i="61" s="1"/>
  <c r="B94" i="8"/>
  <c r="F1027" i="61"/>
  <c r="F1035" i="61" s="1"/>
  <c r="F94" i="8"/>
  <c r="J1027" i="61"/>
  <c r="J1035" i="61" s="1"/>
  <c r="J94" i="8"/>
  <c r="C39" i="8"/>
  <c r="C980" i="61" s="1"/>
  <c r="C38" i="8"/>
  <c r="D38" i="8" s="1"/>
  <c r="E38" i="8"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7" i="15"/>
  <c r="G23" i="15"/>
  <c r="G27" i="15"/>
  <c r="G77" i="15"/>
  <c r="G83" i="15"/>
  <c r="G91" i="15"/>
  <c r="G111" i="15"/>
  <c r="G129" i="15"/>
  <c r="J167" i="15"/>
  <c r="E35" i="15"/>
  <c r="F35" i="15" s="1"/>
  <c r="S17" i="15"/>
  <c r="S23" i="15"/>
  <c r="S27" i="15"/>
  <c r="S77" i="15"/>
  <c r="S83" i="15"/>
  <c r="S91" i="15"/>
  <c r="S111" i="15"/>
  <c r="S117"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982" i="61" l="1"/>
  <c r="D982" i="61"/>
  <c r="F115" i="15"/>
  <c r="F116" i="15"/>
  <c r="F113" i="15"/>
  <c r="F114"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F37" i="15"/>
  <c r="F36" i="15"/>
  <c r="G36" i="15" s="1"/>
  <c r="C59" i="50"/>
  <c r="C58" i="50"/>
  <c r="C61" i="50"/>
  <c r="C60" i="50"/>
  <c r="C55" i="50"/>
  <c r="E34" i="15"/>
  <c r="C117" i="15"/>
  <c r="M1" i="8"/>
  <c r="S1" i="3"/>
  <c r="A1" i="11"/>
  <c r="P131" i="15"/>
  <c r="P148" i="15" s="1"/>
  <c r="P150" i="15" s="1"/>
  <c r="P152" i="15" s="1"/>
  <c r="M131" i="15"/>
  <c r="M148" i="15" s="1"/>
  <c r="M150" i="15" s="1"/>
  <c r="M152" i="15" s="1"/>
  <c r="J131" i="15"/>
  <c r="J148" i="15" s="1"/>
  <c r="L398" i="11"/>
  <c r="C28" i="8"/>
  <c r="C969" i="61" s="1"/>
  <c r="A58" i="26"/>
  <c r="G58" i="26"/>
  <c r="A1" i="25"/>
  <c r="O30" i="7"/>
  <c r="I3" i="29"/>
  <c r="A50" i="25"/>
  <c r="A1" i="26"/>
  <c r="A3" i="37"/>
  <c r="N30" i="7"/>
  <c r="G465" i="61" l="1"/>
  <c r="G467" i="61" s="1"/>
  <c r="G38" i="15"/>
  <c r="O55" i="61"/>
  <c r="O749" i="61"/>
  <c r="M1906" i="61"/>
  <c r="M749" i="61"/>
  <c r="D980" i="61"/>
  <c r="E39" i="8"/>
  <c r="F979" i="61"/>
  <c r="G38" i="8"/>
  <c r="G11" i="51"/>
  <c r="P46" i="6"/>
  <c r="O6" i="59"/>
  <c r="M6" i="59"/>
  <c r="P8" i="11"/>
  <c r="P1525" i="61" s="1"/>
  <c r="M389" i="11"/>
  <c r="J150" i="15"/>
  <c r="J152" i="15" s="1"/>
  <c r="E3" i="51"/>
  <c r="G35" i="51" s="1"/>
  <c r="W1" i="15"/>
  <c r="K59" i="50"/>
  <c r="G59" i="50"/>
  <c r="E59" i="50"/>
  <c r="I59" i="50"/>
  <c r="K60" i="50"/>
  <c r="G60" i="50"/>
  <c r="I60" i="50"/>
  <c r="E60" i="50"/>
  <c r="E61" i="50"/>
  <c r="I61" i="50"/>
  <c r="K61" i="50"/>
  <c r="G61" i="50"/>
  <c r="I55" i="50"/>
  <c r="G55" i="50"/>
  <c r="E55" i="50"/>
  <c r="K55" i="50"/>
  <c r="I58" i="50"/>
  <c r="E58" i="50"/>
  <c r="K58" i="50"/>
  <c r="G58" i="50"/>
  <c r="H58" i="6"/>
  <c r="H57" i="6"/>
  <c r="F62" i="6"/>
  <c r="H60" i="6"/>
  <c r="H59" i="6"/>
  <c r="H61" i="6"/>
  <c r="C62" i="50"/>
  <c r="C68" i="50"/>
  <c r="D28" i="8"/>
  <c r="D969" i="61" s="1"/>
  <c r="E982" i="61" l="1"/>
  <c r="B44" i="15"/>
  <c r="B473" i="61"/>
  <c r="L68" i="6"/>
  <c r="P1131"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C35" i="51"/>
  <c r="H55" i="51"/>
  <c r="I35" i="51"/>
  <c r="C55" i="51"/>
  <c r="H35" i="51"/>
  <c r="G15" i="51"/>
  <c r="D35" i="51"/>
  <c r="H15" i="51"/>
  <c r="I15" i="5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E969" i="61" s="1"/>
  <c r="F982" i="61" l="1"/>
  <c r="D47" i="15"/>
  <c r="F43" i="15"/>
  <c r="F47" i="15"/>
  <c r="H18" i="50"/>
  <c r="J43" i="15"/>
  <c r="E1868" i="61"/>
  <c r="F44" i="15"/>
  <c r="E351" i="11"/>
  <c r="D476" i="61"/>
  <c r="J44" i="15"/>
  <c r="F476" i="61"/>
  <c r="J473" i="61"/>
  <c r="F472" i="61"/>
  <c r="F473" i="61"/>
  <c r="J472" i="61"/>
  <c r="H1015" i="61"/>
  <c r="C1015" i="61"/>
  <c r="H985" i="61"/>
  <c r="C985" i="61"/>
  <c r="I1015" i="61"/>
  <c r="F985" i="61"/>
  <c r="B1015" i="61"/>
  <c r="F1015" i="61"/>
  <c r="K1015" i="61"/>
  <c r="K985" i="61"/>
  <c r="C955" i="61"/>
  <c r="J985" i="61"/>
  <c r="D985" i="61"/>
  <c r="E955" i="61"/>
  <c r="E985" i="61"/>
  <c r="E1015" i="61"/>
  <c r="D955" i="61"/>
  <c r="K955" i="61"/>
  <c r="B985" i="61"/>
  <c r="I985" i="61"/>
  <c r="G985" i="61"/>
  <c r="J955" i="61"/>
  <c r="I955" i="61"/>
  <c r="F955" i="61"/>
  <c r="G1015" i="61"/>
  <c r="J1015" i="61"/>
  <c r="G955" i="61"/>
  <c r="H955" i="61"/>
  <c r="D1015"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K1016" i="61" s="1"/>
  <c r="C53" i="50"/>
  <c r="D13" i="50"/>
  <c r="C45" i="8"/>
  <c r="C986" i="61" s="1"/>
  <c r="G15" i="8"/>
  <c r="G956" i="61" s="1"/>
  <c r="J75" i="8"/>
  <c r="J1016" i="61" s="1"/>
  <c r="I75" i="8"/>
  <c r="I1016" i="61" s="1"/>
  <c r="F75" i="8"/>
  <c r="F1016" i="61" s="1"/>
  <c r="E75" i="8"/>
  <c r="E1016" i="61" s="1"/>
  <c r="D45" i="8"/>
  <c r="D986" i="61" s="1"/>
  <c r="E45" i="8"/>
  <c r="E986" i="61" s="1"/>
  <c r="I15" i="8"/>
  <c r="I956" i="61" s="1"/>
  <c r="J45" i="8"/>
  <c r="J986" i="61" s="1"/>
  <c r="D15" i="8"/>
  <c r="D956" i="61" s="1"/>
  <c r="B45" i="8"/>
  <c r="B986" i="61" s="1"/>
  <c r="K15" i="8"/>
  <c r="K956" i="61" s="1"/>
  <c r="F45" i="8"/>
  <c r="F986" i="61" s="1"/>
  <c r="J15" i="8"/>
  <c r="J956" i="61" s="1"/>
  <c r="K45" i="8"/>
  <c r="K986" i="61" s="1"/>
  <c r="B75" i="8"/>
  <c r="B1016" i="61" s="1"/>
  <c r="C15" i="8"/>
  <c r="C956" i="61" s="1"/>
  <c r="D75" i="8"/>
  <c r="D1016" i="61" s="1"/>
  <c r="H15" i="8"/>
  <c r="H956" i="61" s="1"/>
  <c r="I45" i="8"/>
  <c r="I986" i="61" s="1"/>
  <c r="G75" i="8"/>
  <c r="G1016" i="61" s="1"/>
  <c r="B16" i="8"/>
  <c r="E15" i="8"/>
  <c r="E956" i="61" s="1"/>
  <c r="H45" i="8"/>
  <c r="H986" i="61" s="1"/>
  <c r="H75" i="8"/>
  <c r="H1016" i="61" s="1"/>
  <c r="F15" i="8"/>
  <c r="F956" i="61" s="1"/>
  <c r="G45" i="8"/>
  <c r="G986" i="61" s="1"/>
  <c r="C75" i="8"/>
  <c r="C1016" i="61" s="1"/>
  <c r="F28" i="8"/>
  <c r="F969" i="61" s="1"/>
  <c r="G982" i="61" l="1"/>
  <c r="B957" i="61"/>
  <c r="B20" i="8"/>
  <c r="K7" i="8" s="1"/>
  <c r="G980" i="61"/>
  <c r="H39" i="8"/>
  <c r="I979" i="61"/>
  <c r="J38" i="8"/>
  <c r="P472" i="61"/>
  <c r="P43" i="15"/>
  <c r="O1819" i="61"/>
  <c r="P34" i="11"/>
  <c r="P1551" i="61" s="1"/>
  <c r="O34" i="11"/>
  <c r="O1551" i="61" s="1"/>
  <c r="O35" i="11"/>
  <c r="O1552" i="61" s="1"/>
  <c r="P35" i="11"/>
  <c r="P1552" i="61" s="1"/>
  <c r="P38" i="11"/>
  <c r="P1555" i="61" s="1"/>
  <c r="P1554" i="61" s="1"/>
  <c r="O38" i="11"/>
  <c r="O1555" i="61" s="1"/>
  <c r="O1554" i="61" s="1"/>
  <c r="L125" i="11"/>
  <c r="I166" i="11" s="1"/>
  <c r="I69" i="6"/>
  <c r="I48" i="6"/>
  <c r="G76" i="8"/>
  <c r="G1017" i="61" s="1"/>
  <c r="J16" i="8"/>
  <c r="J957" i="61" s="1"/>
  <c r="E46" i="8"/>
  <c r="I76" i="8"/>
  <c r="I1017" i="61" s="1"/>
  <c r="E106" i="8"/>
  <c r="E110" i="8" s="1"/>
  <c r="N48" i="6"/>
  <c r="C76" i="8"/>
  <c r="C1017" i="61" s="1"/>
  <c r="I46" i="8"/>
  <c r="I987" i="61" s="1"/>
  <c r="F46" i="8"/>
  <c r="F987" i="61" s="1"/>
  <c r="D46" i="8"/>
  <c r="I50" i="6"/>
  <c r="N62" i="6"/>
  <c r="G46" i="8"/>
  <c r="G987" i="61" s="1"/>
  <c r="E16" i="8"/>
  <c r="E957" i="61" s="1"/>
  <c r="H16" i="8"/>
  <c r="H957" i="61" s="1"/>
  <c r="B76" i="8"/>
  <c r="B1017" i="61" s="1"/>
  <c r="K16" i="8"/>
  <c r="K957" i="61" s="1"/>
  <c r="I16" i="8"/>
  <c r="I957" i="61" s="1"/>
  <c r="E76" i="8"/>
  <c r="E1017" i="61" s="1"/>
  <c r="G16" i="8"/>
  <c r="G957" i="61" s="1"/>
  <c r="N50" i="6"/>
  <c r="C106" i="8"/>
  <c r="C110" i="8" s="1"/>
  <c r="H76" i="8"/>
  <c r="H1017" i="61" s="1"/>
  <c r="C16" i="8"/>
  <c r="C957" i="61" s="1"/>
  <c r="D16" i="8"/>
  <c r="F106" i="8"/>
  <c r="F110" i="8" s="1"/>
  <c r="H46" i="8"/>
  <c r="H987" i="61" s="1"/>
  <c r="J46" i="8"/>
  <c r="J987" i="61" s="1"/>
  <c r="J76" i="8"/>
  <c r="J1017" i="61" s="1"/>
  <c r="K76" i="8"/>
  <c r="B106" i="8"/>
  <c r="B110" i="8" s="1"/>
  <c r="N69" i="6"/>
  <c r="F16" i="8"/>
  <c r="F957" i="61" s="1"/>
  <c r="D76" i="8"/>
  <c r="D1017" i="61" s="1"/>
  <c r="K46" i="8"/>
  <c r="K987" i="61" s="1"/>
  <c r="B46" i="8"/>
  <c r="B987" i="61" s="1"/>
  <c r="F76" i="8"/>
  <c r="F1017" i="61" s="1"/>
  <c r="C46" i="8"/>
  <c r="C987" i="61"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H20" i="50"/>
  <c r="J154" i="15"/>
  <c r="J156" i="15" s="1"/>
  <c r="K5" i="8"/>
  <c r="P154" i="15"/>
  <c r="P156" i="15" s="1"/>
  <c r="M154" i="15"/>
  <c r="M156" i="15" s="1"/>
  <c r="G28" i="8"/>
  <c r="G969" i="61" s="1"/>
  <c r="H982" i="61" l="1"/>
  <c r="B50" i="8"/>
  <c r="B991" i="61" s="1"/>
  <c r="G20" i="8"/>
  <c r="G961" i="61" s="1"/>
  <c r="E80" i="8"/>
  <c r="E1021" i="61" s="1"/>
  <c r="B80" i="8"/>
  <c r="B1021" i="61" s="1"/>
  <c r="H80" i="8"/>
  <c r="H1021" i="61" s="1"/>
  <c r="C80" i="8"/>
  <c r="C1021" i="61" s="1"/>
  <c r="J80" i="8"/>
  <c r="J1021" i="61" s="1"/>
  <c r="D957" i="61"/>
  <c r="D20" i="8"/>
  <c r="C50" i="8"/>
  <c r="G50" i="8"/>
  <c r="D80" i="8"/>
  <c r="K50" i="8"/>
  <c r="K20" i="8"/>
  <c r="I50" i="8"/>
  <c r="H20" i="8"/>
  <c r="F50" i="8"/>
  <c r="I20" i="8"/>
  <c r="B961" i="61"/>
  <c r="P170" i="59"/>
  <c r="P913" i="61"/>
  <c r="J50" i="8"/>
  <c r="H50" i="8"/>
  <c r="J20" i="8"/>
  <c r="C20" i="8"/>
  <c r="K1017" i="61"/>
  <c r="K80" i="8"/>
  <c r="D987" i="61"/>
  <c r="D50" i="8"/>
  <c r="E987" i="61"/>
  <c r="E50" i="8"/>
  <c r="F80" i="8"/>
  <c r="G80" i="8"/>
  <c r="E20" i="8"/>
  <c r="I80" i="8"/>
  <c r="F20" i="8"/>
  <c r="O166" i="11"/>
  <c r="I1683" i="61"/>
  <c r="H980" i="61"/>
  <c r="I39" i="8"/>
  <c r="J979" i="61"/>
  <c r="K38" i="8"/>
  <c r="D31" i="51"/>
  <c r="O1550" i="61"/>
  <c r="P1550" i="61"/>
  <c r="P307" i="11"/>
  <c r="O307" i="11"/>
  <c r="O1739" i="61"/>
  <c r="P33" i="11"/>
  <c r="O33" i="11"/>
  <c r="O125" i="11"/>
  <c r="P125" i="11"/>
  <c r="F16" i="49"/>
  <c r="N55" i="6"/>
  <c r="N71" i="6" s="1"/>
  <c r="I55" i="6"/>
  <c r="I71" i="6" s="1"/>
  <c r="P65" i="6" s="1"/>
  <c r="C66" i="50"/>
  <c r="C70" i="50" s="1"/>
  <c r="H19" i="50"/>
  <c r="K19" i="53"/>
  <c r="I39" i="53" s="1"/>
  <c r="D16" i="48"/>
  <c r="F54" i="54"/>
  <c r="D33" i="55" s="1"/>
  <c r="D35" i="55" s="1"/>
  <c r="C34" i="57"/>
  <c r="I44" i="57" s="1"/>
  <c r="J157" i="15"/>
  <c r="H28" i="8"/>
  <c r="H969" i="61" s="1"/>
  <c r="I982" i="61" l="1"/>
  <c r="K1021" i="61"/>
  <c r="N171" i="59"/>
  <c r="P176" i="59"/>
  <c r="N172" i="59"/>
  <c r="I991" i="61"/>
  <c r="G991" i="61"/>
  <c r="E961" i="61"/>
  <c r="J991" i="61"/>
  <c r="K961" i="61"/>
  <c r="C991" i="61"/>
  <c r="E991" i="61"/>
  <c r="G1021" i="61"/>
  <c r="D991" i="61"/>
  <c r="C961" i="61"/>
  <c r="I961" i="61"/>
  <c r="K991" i="61"/>
  <c r="D961" i="61"/>
  <c r="I1021" i="61"/>
  <c r="H991" i="61"/>
  <c r="F961" i="61"/>
  <c r="F1021" i="61"/>
  <c r="J961" i="61"/>
  <c r="P919" i="61"/>
  <c r="N915" i="61"/>
  <c r="N914" i="61"/>
  <c r="F991" i="61"/>
  <c r="H961" i="61"/>
  <c r="D1021" i="61"/>
  <c r="J590" i="61"/>
  <c r="P1150" i="61"/>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I66" i="50"/>
  <c r="I70" i="50" s="1"/>
  <c r="K66" i="50"/>
  <c r="K70" i="50" s="1"/>
  <c r="G66" i="50"/>
  <c r="G70" i="50" s="1"/>
  <c r="E66" i="50"/>
  <c r="E70" i="50" s="1"/>
  <c r="I28" i="8"/>
  <c r="I969" i="61" s="1"/>
  <c r="J982" i="61" l="1"/>
  <c r="N920" i="61"/>
  <c r="P933" i="61"/>
  <c r="F549" i="61"/>
  <c r="F120" i="15"/>
  <c r="G120" i="15" s="1"/>
  <c r="P190" i="59"/>
  <c r="N177" i="59"/>
  <c r="B19" i="8"/>
  <c r="B22" i="8" s="1"/>
  <c r="J980" i="61"/>
  <c r="K39" i="8"/>
  <c r="B1009" i="61"/>
  <c r="C68" i="8"/>
  <c r="F31" i="51"/>
  <c r="L39" i="11"/>
  <c r="P37" i="11" s="1"/>
  <c r="P29" i="11" s="1"/>
  <c r="K39" i="11"/>
  <c r="O37" i="11" s="1"/>
  <c r="P161" i="11"/>
  <c r="P1678" i="61" s="1"/>
  <c r="O161" i="11"/>
  <c r="O129" i="11" s="1"/>
  <c r="L342" i="11"/>
  <c r="L1859" i="61" s="1"/>
  <c r="G21" i="8"/>
  <c r="G962" i="61" s="1"/>
  <c r="F51" i="8"/>
  <c r="F992" i="61" s="1"/>
  <c r="K81" i="8"/>
  <c r="K1022" i="61" s="1"/>
  <c r="E21" i="8"/>
  <c r="E962" i="61" s="1"/>
  <c r="B81" i="8"/>
  <c r="J161" i="15"/>
  <c r="E51" i="8"/>
  <c r="E992" i="61" s="1"/>
  <c r="J81" i="8"/>
  <c r="F111" i="8"/>
  <c r="I81" i="8"/>
  <c r="H21" i="8"/>
  <c r="H962" i="61" s="1"/>
  <c r="C111" i="8"/>
  <c r="I21" i="8"/>
  <c r="I962" i="61" s="1"/>
  <c r="C21" i="8"/>
  <c r="C962" i="61" s="1"/>
  <c r="K51" i="8"/>
  <c r="K992" i="61" s="1"/>
  <c r="H81" i="8"/>
  <c r="B51" i="8"/>
  <c r="B992" i="61" s="1"/>
  <c r="D111" i="8"/>
  <c r="D21" i="8"/>
  <c r="D962" i="61" s="1"/>
  <c r="D81" i="8"/>
  <c r="C81" i="8"/>
  <c r="D51" i="8"/>
  <c r="D992" i="61" s="1"/>
  <c r="J51" i="8"/>
  <c r="J992" i="61" s="1"/>
  <c r="G51" i="8"/>
  <c r="G992" i="61" s="1"/>
  <c r="F81" i="8"/>
  <c r="C13" i="51"/>
  <c r="I51" i="8"/>
  <c r="I992" i="61" s="1"/>
  <c r="H51" i="8"/>
  <c r="H992" i="61" s="1"/>
  <c r="J21" i="8"/>
  <c r="J962" i="61" s="1"/>
  <c r="F21" i="8"/>
  <c r="F962" i="61" s="1"/>
  <c r="G81" i="8"/>
  <c r="K21" i="8"/>
  <c r="K962" i="61" s="1"/>
  <c r="E81" i="8"/>
  <c r="E1022" i="61" s="1"/>
  <c r="B111" i="8"/>
  <c r="E111" i="8"/>
  <c r="C51" i="8"/>
  <c r="J28" i="8"/>
  <c r="J969" i="61" s="1"/>
  <c r="S120" i="15" l="1"/>
  <c r="G549" i="61"/>
  <c r="G554" i="61" s="1"/>
  <c r="F75" i="54"/>
  <c r="E185" i="55" s="1"/>
  <c r="G125" i="15"/>
  <c r="K982" i="61"/>
  <c r="F79" i="8"/>
  <c r="F82" i="8" s="1"/>
  <c r="F1023" i="61" s="1"/>
  <c r="D109" i="8"/>
  <c r="D126" i="8" s="1"/>
  <c r="J49" i="8"/>
  <c r="J52" i="8" s="1"/>
  <c r="J993" i="61" s="1"/>
  <c r="H79" i="8"/>
  <c r="E19" i="8"/>
  <c r="E22" i="8" s="1"/>
  <c r="E963" i="61" s="1"/>
  <c r="K19" i="8"/>
  <c r="K22" i="8" s="1"/>
  <c r="K963" i="61" s="1"/>
  <c r="G49" i="8"/>
  <c r="G52" i="8" s="1"/>
  <c r="G993" i="61" s="1"/>
  <c r="H49" i="8"/>
  <c r="E79" i="8"/>
  <c r="E82" i="8" s="1"/>
  <c r="E1023" i="61" s="1"/>
  <c r="C49" i="8"/>
  <c r="C52" i="8" s="1"/>
  <c r="C993" i="61" s="1"/>
  <c r="F49" i="8"/>
  <c r="F52" i="8" s="1"/>
  <c r="F993" i="61" s="1"/>
  <c r="K49" i="8"/>
  <c r="E109" i="8"/>
  <c r="E126" i="8" s="1"/>
  <c r="B109" i="8"/>
  <c r="B126" i="8" s="1"/>
  <c r="I49" i="8"/>
  <c r="I52" i="8" s="1"/>
  <c r="I993" i="61" s="1"/>
  <c r="G19" i="8"/>
  <c r="G22" i="8" s="1"/>
  <c r="G963" i="61" s="1"/>
  <c r="J19" i="8"/>
  <c r="J22" i="8" s="1"/>
  <c r="J963" i="61" s="1"/>
  <c r="B79" i="8"/>
  <c r="B82" i="8" s="1"/>
  <c r="B1023" i="61" s="1"/>
  <c r="D19" i="8"/>
  <c r="D22" i="8" s="1"/>
  <c r="D963" i="61" s="1"/>
  <c r="C19" i="8"/>
  <c r="I79" i="8"/>
  <c r="I82" i="8" s="1"/>
  <c r="I1023" i="61" s="1"/>
  <c r="B960" i="61"/>
  <c r="B977" i="61" s="1"/>
  <c r="C109" i="8"/>
  <c r="C126" i="8" s="1"/>
  <c r="H19" i="8"/>
  <c r="H22" i="8" s="1"/>
  <c r="H963" i="61" s="1"/>
  <c r="C79" i="8"/>
  <c r="C82" i="8" s="1"/>
  <c r="C1023" i="61" s="1"/>
  <c r="F19" i="8"/>
  <c r="F22" i="8" s="1"/>
  <c r="F963" i="61" s="1"/>
  <c r="J79" i="8"/>
  <c r="J82" i="8" s="1"/>
  <c r="J1023" i="61" s="1"/>
  <c r="G79" i="8"/>
  <c r="G82" i="8" s="1"/>
  <c r="G1023" i="61" s="1"/>
  <c r="D49" i="8"/>
  <c r="D52" i="8" s="1"/>
  <c r="D993" i="61" s="1"/>
  <c r="I19" i="8"/>
  <c r="I22" i="8" s="1"/>
  <c r="I963" i="61" s="1"/>
  <c r="F109" i="8"/>
  <c r="F126" i="8" s="1"/>
  <c r="E49" i="8"/>
  <c r="D79" i="8"/>
  <c r="D82" i="8" s="1"/>
  <c r="D1023" i="61" s="1"/>
  <c r="B49" i="8"/>
  <c r="B52" i="8" s="1"/>
  <c r="B993" i="61" s="1"/>
  <c r="K79" i="8"/>
  <c r="K82" i="8" s="1"/>
  <c r="K1023" i="61" s="1"/>
  <c r="B36" i="8"/>
  <c r="H1022" i="61"/>
  <c r="J1022" i="61"/>
  <c r="B1022" i="61"/>
  <c r="G1022" i="61"/>
  <c r="G33" i="51"/>
  <c r="C992" i="61"/>
  <c r="D1022" i="61"/>
  <c r="I1022" i="61"/>
  <c r="B963" i="61"/>
  <c r="F1022" i="61"/>
  <c r="C1022" i="61"/>
  <c r="B69" i="8"/>
  <c r="K980" i="61"/>
  <c r="C1009" i="61"/>
  <c r="D68" i="8"/>
  <c r="G31" i="51"/>
  <c r="P1546" i="61"/>
  <c r="O1678" i="61"/>
  <c r="H13" i="51"/>
  <c r="C53" i="51"/>
  <c r="I13" i="51"/>
  <c r="K52" i="8"/>
  <c r="K993" i="61" s="1"/>
  <c r="I33" i="51"/>
  <c r="C33" i="51"/>
  <c r="F13" i="51"/>
  <c r="F33" i="51"/>
  <c r="G53" i="51"/>
  <c r="H53" i="51"/>
  <c r="F53" i="51"/>
  <c r="E13" i="51"/>
  <c r="D13" i="51"/>
  <c r="H33" i="51"/>
  <c r="D53" i="51"/>
  <c r="D33" i="51"/>
  <c r="E33" i="51"/>
  <c r="E53" i="51"/>
  <c r="G13" i="51"/>
  <c r="K28" i="8"/>
  <c r="K969" i="61" s="1"/>
  <c r="S549" i="61" l="1"/>
  <c r="S554" i="61" s="1"/>
  <c r="S125" i="15"/>
  <c r="F112" i="8"/>
  <c r="C112" i="8"/>
  <c r="E990" i="61"/>
  <c r="E1007" i="61" s="1"/>
  <c r="E66" i="8"/>
  <c r="C960" i="61"/>
  <c r="C977" i="61" s="1"/>
  <c r="C36" i="8"/>
  <c r="K990" i="61"/>
  <c r="K1007" i="61" s="1"/>
  <c r="K66" i="8"/>
  <c r="K1020" i="61"/>
  <c r="K1037" i="61" s="1"/>
  <c r="K96" i="8"/>
  <c r="J96" i="8"/>
  <c r="J1020" i="61"/>
  <c r="J1037" i="61" s="1"/>
  <c r="D960" i="61"/>
  <c r="D977" i="61" s="1"/>
  <c r="D36" i="8"/>
  <c r="I990" i="61"/>
  <c r="I1007" i="61" s="1"/>
  <c r="I66" i="8"/>
  <c r="F990" i="61"/>
  <c r="F1007" i="61" s="1"/>
  <c r="F66" i="8"/>
  <c r="G990" i="61"/>
  <c r="G1007" i="61" s="1"/>
  <c r="G66" i="8"/>
  <c r="J990" i="61"/>
  <c r="J1007" i="61" s="1"/>
  <c r="J66" i="8"/>
  <c r="D112" i="8"/>
  <c r="G1020" i="61"/>
  <c r="G1037" i="61" s="1"/>
  <c r="G96" i="8"/>
  <c r="G36" i="8"/>
  <c r="G960" i="61"/>
  <c r="G977" i="61" s="1"/>
  <c r="H990" i="61"/>
  <c r="H1007" i="61" s="1"/>
  <c r="H66" i="8"/>
  <c r="H52" i="8"/>
  <c r="H993" i="61" s="1"/>
  <c r="B990" i="61"/>
  <c r="B1007" i="61" s="1"/>
  <c r="F54" i="51"/>
  <c r="E54" i="51"/>
  <c r="D54" i="51"/>
  <c r="C54" i="51"/>
  <c r="G54" i="51"/>
  <c r="H54" i="51"/>
  <c r="B66" i="8"/>
  <c r="I960" i="61"/>
  <c r="I977" i="61" s="1"/>
  <c r="I36" i="8"/>
  <c r="F960" i="61"/>
  <c r="F977" i="61" s="1"/>
  <c r="F36" i="8"/>
  <c r="B1020" i="61"/>
  <c r="B1037" i="61" s="1"/>
  <c r="B96" i="8"/>
  <c r="C990" i="61"/>
  <c r="C1007" i="61" s="1"/>
  <c r="C66" i="8"/>
  <c r="K960" i="61"/>
  <c r="K977" i="61" s="1"/>
  <c r="K36" i="8"/>
  <c r="B112" i="8"/>
  <c r="H960" i="61"/>
  <c r="H977" i="61" s="1"/>
  <c r="H36" i="8"/>
  <c r="H96" i="8"/>
  <c r="H1020" i="61"/>
  <c r="H1037" i="61" s="1"/>
  <c r="C22" i="8"/>
  <c r="C963" i="61" s="1"/>
  <c r="E52" i="8"/>
  <c r="E993" i="61" s="1"/>
  <c r="H82" i="8"/>
  <c r="H1023" i="61" s="1"/>
  <c r="D1020" i="61"/>
  <c r="D1037" i="61" s="1"/>
  <c r="D96" i="8"/>
  <c r="D990" i="61"/>
  <c r="D1007" i="61" s="1"/>
  <c r="D66" i="8"/>
  <c r="C1020" i="61"/>
  <c r="C1037" i="61" s="1"/>
  <c r="C96" i="8"/>
  <c r="I1020" i="61"/>
  <c r="I1037" i="61" s="1"/>
  <c r="I96" i="8"/>
  <c r="J960" i="61"/>
  <c r="J977" i="61" s="1"/>
  <c r="J36" i="8"/>
  <c r="E1020" i="61"/>
  <c r="E1037" i="61" s="1"/>
  <c r="E96" i="8"/>
  <c r="E960" i="61"/>
  <c r="E977" i="61" s="1"/>
  <c r="E36" i="8"/>
  <c r="F1020" i="61"/>
  <c r="F1037" i="61" s="1"/>
  <c r="F96" i="8"/>
  <c r="E112" i="8"/>
  <c r="B1010" i="61"/>
  <c r="C69" i="8"/>
  <c r="D1009" i="61"/>
  <c r="E68" i="8"/>
  <c r="H31" i="51"/>
  <c r="L343" i="11"/>
  <c r="L1860" i="61" s="1"/>
  <c r="O1646" i="61"/>
  <c r="B58" i="8"/>
  <c r="B999" i="61" s="1"/>
  <c r="C1010" i="61" l="1"/>
  <c r="D69" i="8"/>
  <c r="E1009" i="61"/>
  <c r="F68" i="8"/>
  <c r="I31" i="51"/>
  <c r="C58" i="8"/>
  <c r="C999" i="61" s="1"/>
  <c r="D1010" i="61" l="1"/>
  <c r="E69" i="8"/>
  <c r="F1009" i="61"/>
  <c r="G68" i="8"/>
  <c r="C51" i="51"/>
  <c r="D58" i="8"/>
  <c r="D999" i="61" s="1"/>
  <c r="E1010" i="61" l="1"/>
  <c r="F69" i="8"/>
  <c r="G1009" i="61"/>
  <c r="H68" i="8"/>
  <c r="D51" i="51"/>
  <c r="E58" i="8"/>
  <c r="E999" i="61" s="1"/>
  <c r="G69" i="8" l="1"/>
  <c r="F1010" i="61"/>
  <c r="H1009" i="61"/>
  <c r="I68" i="8"/>
  <c r="E51" i="51"/>
  <c r="F58" i="8"/>
  <c r="F999" i="61" s="1"/>
  <c r="H69" i="8" l="1"/>
  <c r="G1010" i="61"/>
  <c r="I1009" i="61"/>
  <c r="J68" i="8"/>
  <c r="F51" i="51"/>
  <c r="G58" i="8"/>
  <c r="G999" i="61" s="1"/>
  <c r="I69" i="8" l="1"/>
  <c r="H1010" i="61"/>
  <c r="J1009" i="61"/>
  <c r="K68" i="8"/>
  <c r="G51" i="51"/>
  <c r="H58" i="8"/>
  <c r="H999" i="61" s="1"/>
  <c r="I1010" i="61" l="1"/>
  <c r="J69" i="8"/>
  <c r="K1009" i="61"/>
  <c r="B98" i="8"/>
  <c r="H51" i="51"/>
  <c r="I58" i="8"/>
  <c r="I999" i="61" s="1"/>
  <c r="J1010" i="61" l="1"/>
  <c r="K69" i="8"/>
  <c r="B1039" i="61"/>
  <c r="C98" i="8"/>
  <c r="J58" i="8"/>
  <c r="J999" i="61" s="1"/>
  <c r="K1010" i="61" l="1"/>
  <c r="B99" i="8"/>
  <c r="C1039" i="61"/>
  <c r="D98" i="8"/>
  <c r="K58" i="8"/>
  <c r="K999" i="61" s="1"/>
  <c r="B1040" i="61" l="1"/>
  <c r="C99" i="8"/>
  <c r="D1039" i="61"/>
  <c r="E98" i="8"/>
  <c r="B88" i="8"/>
  <c r="B1029" i="61" s="1"/>
  <c r="C1040" i="61" l="1"/>
  <c r="D99" i="8"/>
  <c r="E1039" i="61"/>
  <c r="F98" i="8"/>
  <c r="C88" i="8"/>
  <c r="C1029" i="61" s="1"/>
  <c r="D1040" i="61" l="1"/>
  <c r="E99" i="8"/>
  <c r="F1039" i="61"/>
  <c r="G98" i="8"/>
  <c r="D88" i="8"/>
  <c r="D1029" i="61" s="1"/>
  <c r="E1040" i="61" l="1"/>
  <c r="F99" i="8"/>
  <c r="G1039" i="61"/>
  <c r="H98" i="8"/>
  <c r="E88" i="8"/>
  <c r="E1029" i="61" s="1"/>
  <c r="F1040" i="61" l="1"/>
  <c r="G99" i="8"/>
  <c r="H1039" i="61"/>
  <c r="I98" i="8"/>
  <c r="F88" i="8"/>
  <c r="F1029" i="61" s="1"/>
  <c r="G1040" i="61" l="1"/>
  <c r="H99" i="8"/>
  <c r="I1039" i="61"/>
  <c r="J98" i="8"/>
  <c r="G88" i="8"/>
  <c r="G1029" i="61" s="1"/>
  <c r="H1040" i="61" l="1"/>
  <c r="I99" i="8"/>
  <c r="J1039" i="61"/>
  <c r="K98" i="8"/>
  <c r="H88" i="8"/>
  <c r="H1029" i="61" s="1"/>
  <c r="I1040" i="61" l="1"/>
  <c r="J99" i="8"/>
  <c r="K1039" i="61"/>
  <c r="B128" i="8"/>
  <c r="I88" i="8"/>
  <c r="I1029" i="61" s="1"/>
  <c r="J1040" i="61" l="1"/>
  <c r="K99" i="8"/>
  <c r="B1069" i="61"/>
  <c r="C128" i="8"/>
  <c r="J88" i="8"/>
  <c r="J1029" i="61" s="1"/>
  <c r="B129" i="8" l="1"/>
  <c r="K1040" i="61"/>
  <c r="C1069" i="61"/>
  <c r="D128" i="8"/>
  <c r="K88" i="8"/>
  <c r="K1029" i="61" s="1"/>
  <c r="B1070" i="61" l="1"/>
  <c r="C129" i="8"/>
  <c r="D1069" i="61"/>
  <c r="E128" i="8"/>
  <c r="B118" i="8"/>
  <c r="C1070" i="61" l="1"/>
  <c r="D129" i="8"/>
  <c r="E1069" i="61"/>
  <c r="F128" i="8"/>
  <c r="F1069" i="61" s="1"/>
  <c r="C118" i="8"/>
  <c r="D1070" i="61" l="1"/>
  <c r="E129" i="8"/>
  <c r="D118" i="8"/>
  <c r="E1070" i="61" l="1"/>
  <c r="F129" i="8"/>
  <c r="F1070" i="61" s="1"/>
  <c r="E118" i="8"/>
  <c r="F118" i="8" l="1"/>
  <c r="O29" i="11" l="1"/>
  <c r="O1546" i="61" s="1"/>
  <c r="R1546" i="61" l="1"/>
  <c r="R29" i="11"/>
  <c r="I400" i="61" l="1"/>
  <c r="C25" i="50"/>
  <c r="D15" i="48" s="1"/>
  <c r="N37" i="3"/>
  <c r="N400" i="61" s="1"/>
  <c r="K36" i="53"/>
  <c r="D39" i="53" s="1"/>
  <c r="F15" i="49" l="1"/>
  <c r="D113" i="8"/>
  <c r="D121" i="8" s="1"/>
  <c r="G83" i="8"/>
  <c r="G1024" i="61" s="1"/>
  <c r="D53" i="8"/>
  <c r="D994" i="61" s="1"/>
  <c r="D1006" i="61" s="1"/>
  <c r="K83" i="8"/>
  <c r="I23" i="8"/>
  <c r="I964" i="61" s="1"/>
  <c r="C83" i="8"/>
  <c r="C1024" i="61" s="1"/>
  <c r="C53" i="8"/>
  <c r="C994" i="61" s="1"/>
  <c r="C1002" i="61" s="1"/>
  <c r="E113" i="8"/>
  <c r="H83" i="8"/>
  <c r="H1024" i="61" s="1"/>
  <c r="H1032" i="61" s="1"/>
  <c r="K53" i="8"/>
  <c r="H23" i="8"/>
  <c r="H31" i="8" s="1"/>
  <c r="E125" i="8"/>
  <c r="F113" i="8"/>
  <c r="F125" i="8" s="1"/>
  <c r="B113" i="8"/>
  <c r="I83" i="8"/>
  <c r="D83" i="8"/>
  <c r="D91" i="8" s="1"/>
  <c r="K61" i="8"/>
  <c r="G53" i="8"/>
  <c r="C23" i="8"/>
  <c r="C35" i="8" s="1"/>
  <c r="C113" i="8"/>
  <c r="C125" i="8" s="1"/>
  <c r="J83" i="8"/>
  <c r="E83" i="8"/>
  <c r="H53" i="8"/>
  <c r="E23" i="8"/>
  <c r="E35" i="8" s="1"/>
  <c r="C29" i="50"/>
  <c r="E24" i="52"/>
  <c r="E20" i="52"/>
  <c r="F121" i="8"/>
  <c r="H95" i="8"/>
  <c r="C95" i="8"/>
  <c r="H91" i="8"/>
  <c r="F83" i="8"/>
  <c r="B83" i="8"/>
  <c r="J53" i="8"/>
  <c r="F53" i="8"/>
  <c r="B53" i="8"/>
  <c r="I35" i="8"/>
  <c r="K23" i="8"/>
  <c r="G23" i="8"/>
  <c r="B23" i="8"/>
  <c r="K29" i="50"/>
  <c r="C121" i="8"/>
  <c r="G95" i="8"/>
  <c r="K91" i="8"/>
  <c r="G91" i="8"/>
  <c r="C91" i="8"/>
  <c r="I53" i="8"/>
  <c r="E53" i="8"/>
  <c r="J23" i="8"/>
  <c r="F23" i="8"/>
  <c r="F35" i="8" s="1"/>
  <c r="I31" i="8"/>
  <c r="E31" i="8"/>
  <c r="J18" i="50"/>
  <c r="D1002" i="61"/>
  <c r="F550" i="61"/>
  <c r="B964" i="61"/>
  <c r="F121" i="15"/>
  <c r="C36" i="50"/>
  <c r="K26" i="50"/>
  <c r="D125" i="8"/>
  <c r="E121" i="8"/>
  <c r="I972" i="61"/>
  <c r="I976" i="61"/>
  <c r="H1036" i="61"/>
  <c r="F95" i="8"/>
  <c r="B95" i="8"/>
  <c r="H65" i="8"/>
  <c r="J35" i="8"/>
  <c r="B35" i="8"/>
  <c r="D23" i="8"/>
  <c r="C75" i="50"/>
  <c r="G1036" i="61"/>
  <c r="G1032" i="61"/>
  <c r="C1036" i="61"/>
  <c r="C1032" i="61"/>
  <c r="C61" i="8" l="1"/>
  <c r="J95" i="8"/>
  <c r="C1006" i="61"/>
  <c r="H35" i="8"/>
  <c r="D61" i="8"/>
  <c r="E19" i="52"/>
  <c r="D65" i="8"/>
  <c r="C65" i="8"/>
  <c r="C31" i="8"/>
  <c r="E15" i="52"/>
  <c r="D95" i="8"/>
  <c r="E29" i="52"/>
  <c r="H964" i="61"/>
  <c r="E14" i="52"/>
  <c r="K994" i="61"/>
  <c r="E27" i="52"/>
  <c r="K65" i="8"/>
  <c r="K1024" i="61"/>
  <c r="K95" i="8"/>
  <c r="E1024" i="61"/>
  <c r="E95" i="8"/>
  <c r="E31" i="52"/>
  <c r="E91" i="8"/>
  <c r="C964" i="61"/>
  <c r="E9" i="52"/>
  <c r="D1024" i="61"/>
  <c r="E30" i="52"/>
  <c r="E964" i="61"/>
  <c r="E11" i="52"/>
  <c r="J1024" i="61"/>
  <c r="J91" i="8"/>
  <c r="G994" i="61"/>
  <c r="G65" i="8"/>
  <c r="G61" i="8"/>
  <c r="E23" i="52"/>
  <c r="I1024" i="61"/>
  <c r="I91" i="8"/>
  <c r="I95" i="8"/>
  <c r="H994" i="61"/>
  <c r="H61" i="8"/>
  <c r="B121" i="8"/>
  <c r="B125" i="8"/>
  <c r="K964" i="61"/>
  <c r="K35" i="8"/>
  <c r="K31" i="8"/>
  <c r="E17" i="52"/>
  <c r="F994" i="61"/>
  <c r="F65" i="8"/>
  <c r="E22" i="52"/>
  <c r="F61" i="8"/>
  <c r="B1024" i="61"/>
  <c r="B91" i="8"/>
  <c r="E28" i="52"/>
  <c r="J994" i="61"/>
  <c r="J61" i="8"/>
  <c r="J65" i="8"/>
  <c r="E26" i="52"/>
  <c r="F1024" i="61"/>
  <c r="F91" i="8"/>
  <c r="E32" i="52"/>
  <c r="F964" i="61"/>
  <c r="F31" i="8"/>
  <c r="E12" i="52"/>
  <c r="E994" i="61"/>
  <c r="E61" i="8"/>
  <c r="E21" i="52"/>
  <c r="E65" i="8"/>
  <c r="B37" i="8"/>
  <c r="B31" i="8"/>
  <c r="E8" i="52"/>
  <c r="J964" i="61"/>
  <c r="J31" i="8"/>
  <c r="E16" i="52"/>
  <c r="I994" i="61"/>
  <c r="I61" i="8"/>
  <c r="I65" i="8"/>
  <c r="E25" i="52"/>
  <c r="G964" i="61"/>
  <c r="G35" i="8"/>
  <c r="G31" i="8"/>
  <c r="E13" i="52"/>
  <c r="B994" i="61"/>
  <c r="E18" i="52"/>
  <c r="B65" i="8"/>
  <c r="B61" i="8"/>
  <c r="K37" i="50"/>
  <c r="K35" i="50"/>
  <c r="C40" i="50"/>
  <c r="I75" i="50"/>
  <c r="K75" i="50"/>
  <c r="E75" i="50"/>
  <c r="C76" i="50"/>
  <c r="C73" i="50" s="1"/>
  <c r="C72" i="50"/>
  <c r="G75" i="50"/>
  <c r="C77" i="50"/>
  <c r="D964" i="61"/>
  <c r="E10" i="52"/>
  <c r="D31" i="8"/>
  <c r="D35" i="8"/>
  <c r="B976" i="61"/>
  <c r="B972" i="61"/>
  <c r="K1002" i="61" l="1"/>
  <c r="K1006" i="61"/>
  <c r="K1036" i="61"/>
  <c r="K1032" i="61"/>
  <c r="H972" i="61"/>
  <c r="H976" i="61"/>
  <c r="J1036" i="61"/>
  <c r="J1032" i="61"/>
  <c r="H1006" i="61"/>
  <c r="H1002" i="61"/>
  <c r="I1032" i="61"/>
  <c r="I1036" i="61"/>
  <c r="C972" i="61"/>
  <c r="C976" i="61"/>
  <c r="G1006" i="61"/>
  <c r="G1002" i="61"/>
  <c r="D1032" i="61"/>
  <c r="D1036" i="61"/>
  <c r="E1032" i="61"/>
  <c r="E1036" i="61"/>
  <c r="E976" i="61"/>
  <c r="E972" i="61"/>
  <c r="B1002" i="61"/>
  <c r="B1006" i="61"/>
  <c r="E1002" i="61"/>
  <c r="E1006" i="61"/>
  <c r="F976" i="61"/>
  <c r="F972" i="61"/>
  <c r="F1036" i="61"/>
  <c r="F1032" i="61"/>
  <c r="F1002" i="61"/>
  <c r="F1006" i="61"/>
  <c r="G972" i="61"/>
  <c r="G976" i="61"/>
  <c r="I1002" i="61"/>
  <c r="I1006" i="61"/>
  <c r="J972" i="61"/>
  <c r="J976" i="61"/>
  <c r="C37" i="8"/>
  <c r="C10" i="51"/>
  <c r="B978" i="61"/>
  <c r="J1002" i="61"/>
  <c r="J1006" i="61"/>
  <c r="B1036" i="61"/>
  <c r="B1032" i="61"/>
  <c r="K972" i="61"/>
  <c r="K976" i="61"/>
  <c r="G76" i="50"/>
  <c r="G73" i="50" s="1"/>
  <c r="G72" i="50"/>
  <c r="G77" i="50"/>
  <c r="K76" i="50"/>
  <c r="K73" i="50" s="1"/>
  <c r="K72" i="50"/>
  <c r="K77" i="50"/>
  <c r="D972" i="61"/>
  <c r="D976" i="61"/>
  <c r="I76" i="50"/>
  <c r="I73" i="50" s="1"/>
  <c r="I72" i="50"/>
  <c r="I77" i="50"/>
  <c r="C80" i="50"/>
  <c r="C81" i="50"/>
  <c r="E72" i="50"/>
  <c r="E77" i="50"/>
  <c r="E76" i="50"/>
  <c r="E73" i="50" s="1"/>
  <c r="C978" i="61" l="1"/>
  <c r="D37" i="8"/>
  <c r="D10" i="51"/>
  <c r="E37" i="8" l="1"/>
  <c r="F10" i="51" s="1"/>
  <c r="D978" i="61"/>
  <c r="E10" i="51"/>
  <c r="E978" i="61" l="1"/>
  <c r="F37" i="8"/>
  <c r="F978" i="61" l="1"/>
  <c r="G37" i="8"/>
  <c r="G10" i="51"/>
  <c r="G978" i="61" l="1"/>
  <c r="H37" i="8"/>
  <c r="I10" i="51" s="1"/>
  <c r="H10" i="51"/>
  <c r="I37" i="8" l="1"/>
  <c r="C30" i="51" s="1"/>
  <c r="H978" i="61"/>
  <c r="I978" i="61" l="1"/>
  <c r="J37" i="8"/>
  <c r="J978" i="61" l="1"/>
  <c r="K37" i="8"/>
  <c r="D30" i="51"/>
  <c r="K978" i="61" l="1"/>
  <c r="B67" i="8"/>
  <c r="E30" i="51"/>
  <c r="C67" i="8" l="1"/>
  <c r="G30" i="51" s="1"/>
  <c r="B1008" i="61"/>
  <c r="F30" i="51"/>
  <c r="C1008" i="61" l="1"/>
  <c r="D67" i="8"/>
  <c r="D1008" i="61" l="1"/>
  <c r="E67" i="8"/>
  <c r="H30" i="51"/>
  <c r="E1008" i="61" l="1"/>
  <c r="F67" i="8"/>
  <c r="I30" i="51"/>
  <c r="G67" i="8" l="1"/>
  <c r="F1008" i="61"/>
  <c r="C50" i="51"/>
  <c r="H67" i="8" l="1"/>
  <c r="E50" i="51" s="1"/>
  <c r="G1008" i="61"/>
  <c r="D50" i="51"/>
  <c r="H1008" i="61" l="1"/>
  <c r="I67" i="8"/>
  <c r="I1008" i="61" l="1"/>
  <c r="J67" i="8"/>
  <c r="F50" i="51"/>
  <c r="J1008" i="61" l="1"/>
  <c r="K67" i="8"/>
  <c r="G50" i="51"/>
  <c r="L63" i="49" l="1"/>
  <c r="F60" i="54"/>
  <c r="L93" i="49"/>
  <c r="C87" i="55"/>
  <c r="O8" i="51"/>
  <c r="O14" i="51" s="1"/>
  <c r="O33" i="51" s="1"/>
  <c r="H63" i="51" s="1"/>
  <c r="K1008" i="61"/>
  <c r="B97" i="8"/>
  <c r="H50" i="51"/>
  <c r="B1038" i="61" l="1"/>
  <c r="C97" i="8"/>
  <c r="C1038" i="61" l="1"/>
  <c r="D97" i="8"/>
  <c r="D1038" i="61" l="1"/>
  <c r="E97" i="8"/>
  <c r="E1038" i="61" l="1"/>
  <c r="F97" i="8"/>
  <c r="F1038" i="61" l="1"/>
  <c r="G97" i="8"/>
  <c r="G1038" i="61" l="1"/>
  <c r="H97" i="8"/>
  <c r="H1038" i="61" l="1"/>
  <c r="I97" i="8"/>
  <c r="I1038" i="61" l="1"/>
  <c r="J97" i="8"/>
  <c r="J1038" i="61" l="1"/>
  <c r="K97" i="8"/>
  <c r="K1038" i="61" l="1"/>
  <c r="B127" i="8"/>
  <c r="B1068" i="61" l="1"/>
  <c r="C127" i="8"/>
  <c r="C1068" i="61" l="1"/>
  <c r="D127" i="8"/>
  <c r="D1068" i="61" l="1"/>
  <c r="E127" i="8"/>
  <c r="E1068" i="61" l="1"/>
  <c r="F127" i="8"/>
  <c r="F1068" i="61" s="1"/>
  <c r="K34" i="53"/>
  <c r="C135" i="55"/>
  <c r="L59" i="49" s="1"/>
  <c r="I405" i="61"/>
  <c r="I417" i="61" s="1"/>
  <c r="D42" i="3"/>
  <c r="D405" i="61" s="1"/>
  <c r="N42" i="3"/>
  <c r="B29" i="8" s="1"/>
  <c r="B41" i="8" s="1"/>
  <c r="B982" i="61" s="1"/>
  <c r="I54" i="3"/>
  <c r="J163" i="15" s="1"/>
  <c r="D119" i="8"/>
  <c r="D120" i="8" s="1"/>
  <c r="B119" i="8" l="1"/>
  <c r="B120" i="8" s="1"/>
  <c r="J59" i="8"/>
  <c r="J1000" i="61" s="1"/>
  <c r="G89" i="8"/>
  <c r="D59" i="8"/>
  <c r="D89" i="8"/>
  <c r="D1030" i="61" s="1"/>
  <c r="F119" i="8"/>
  <c r="F120" i="8" s="1"/>
  <c r="J89" i="8"/>
  <c r="J1030" i="61" s="1"/>
  <c r="C89" i="8"/>
  <c r="C90" i="8" s="1"/>
  <c r="C1031" i="61" s="1"/>
  <c r="I59" i="8"/>
  <c r="J29" i="8"/>
  <c r="D34" i="51" s="1"/>
  <c r="E119" i="8"/>
  <c r="E120" i="8" s="1"/>
  <c r="H89" i="8"/>
  <c r="H1030" i="61" s="1"/>
  <c r="B89" i="8"/>
  <c r="E59" i="8"/>
  <c r="I34" i="51" s="1"/>
  <c r="F29" i="8"/>
  <c r="G14" i="51" s="1"/>
  <c r="E29" i="8"/>
  <c r="E970" i="61" s="1"/>
  <c r="J90" i="8"/>
  <c r="J1031" i="61" s="1"/>
  <c r="K29" i="8"/>
  <c r="K30" i="8" s="1"/>
  <c r="E29" i="51" s="1"/>
  <c r="C29" i="8"/>
  <c r="D14" i="51" s="1"/>
  <c r="B1030" i="61"/>
  <c r="B90" i="8"/>
  <c r="B1031" i="61" s="1"/>
  <c r="J60" i="8"/>
  <c r="G49" i="51" s="1"/>
  <c r="F59" i="8"/>
  <c r="I29" i="8"/>
  <c r="B970" i="61"/>
  <c r="C14" i="51"/>
  <c r="B30" i="8"/>
  <c r="G1030" i="61"/>
  <c r="G90" i="8"/>
  <c r="G1031" i="61" s="1"/>
  <c r="I1000" i="61"/>
  <c r="I60" i="8"/>
  <c r="N405" i="61"/>
  <c r="G57" i="51"/>
  <c r="G58" i="51" s="1"/>
  <c r="G60" i="51" s="1"/>
  <c r="G64" i="51" s="1"/>
  <c r="K24" i="51" s="1"/>
  <c r="C119" i="8"/>
  <c r="K89" i="8"/>
  <c r="F89" i="8"/>
  <c r="H59" i="8"/>
  <c r="B59" i="8"/>
  <c r="B71" i="8" s="1"/>
  <c r="B1012" i="61" s="1"/>
  <c r="C30" i="8"/>
  <c r="G29" i="8"/>
  <c r="J1001" i="61"/>
  <c r="F1000" i="61"/>
  <c r="F970" i="61"/>
  <c r="F30" i="8"/>
  <c r="D90" i="8"/>
  <c r="D1031" i="61" s="1"/>
  <c r="C1030" i="61"/>
  <c r="E1000" i="61"/>
  <c r="J970" i="61"/>
  <c r="J30" i="8"/>
  <c r="D29" i="8"/>
  <c r="H29" i="8"/>
  <c r="C59" i="8"/>
  <c r="C71" i="8" s="1"/>
  <c r="G59" i="8"/>
  <c r="K59" i="8"/>
  <c r="E89" i="8"/>
  <c r="I89" i="8"/>
  <c r="I970" i="61"/>
  <c r="C970" i="61"/>
  <c r="J592" i="61"/>
  <c r="H34" i="51" l="1"/>
  <c r="D60" i="8"/>
  <c r="D1000" i="61"/>
  <c r="H90" i="8"/>
  <c r="H1031" i="61" s="1"/>
  <c r="E60" i="8"/>
  <c r="K970" i="61"/>
  <c r="K971" i="61"/>
  <c r="E34" i="51"/>
  <c r="F14" i="51"/>
  <c r="E30" i="8"/>
  <c r="C120" i="8"/>
  <c r="C34" i="51"/>
  <c r="I30" i="8"/>
  <c r="C1012" i="61"/>
  <c r="D71" i="8"/>
  <c r="F60" i="8"/>
  <c r="E1030" i="61"/>
  <c r="E90" i="8"/>
  <c r="E1031" i="61" s="1"/>
  <c r="H14" i="51"/>
  <c r="G970" i="61"/>
  <c r="G30" i="8"/>
  <c r="F90" i="8"/>
  <c r="F1031" i="61" s="1"/>
  <c r="F1030" i="61"/>
  <c r="K60" i="8"/>
  <c r="K1000" i="61"/>
  <c r="E14" i="51"/>
  <c r="D30" i="8"/>
  <c r="D970" i="61"/>
  <c r="I29" i="51"/>
  <c r="E1001" i="61"/>
  <c r="D9" i="51"/>
  <c r="C971" i="61"/>
  <c r="K1030" i="61"/>
  <c r="K90" i="8"/>
  <c r="K1031" i="61" s="1"/>
  <c r="G1000" i="61"/>
  <c r="G60" i="8"/>
  <c r="D29" i="51"/>
  <c r="J971" i="61"/>
  <c r="F971" i="61"/>
  <c r="G9" i="51"/>
  <c r="B1000" i="61"/>
  <c r="F34" i="51"/>
  <c r="B60" i="8"/>
  <c r="H30" i="8"/>
  <c r="I14" i="51"/>
  <c r="H970" i="61"/>
  <c r="I1030" i="61"/>
  <c r="I90" i="8"/>
  <c r="I1031" i="61" s="1"/>
  <c r="G34" i="51"/>
  <c r="C1000" i="61"/>
  <c r="C60" i="8"/>
  <c r="H60" i="8"/>
  <c r="H1000" i="61"/>
  <c r="I1001" i="61"/>
  <c r="F49" i="51"/>
  <c r="B971" i="61"/>
  <c r="C9" i="51"/>
  <c r="D1001" i="61" l="1"/>
  <c r="H29" i="51"/>
  <c r="F9" i="51"/>
  <c r="E971" i="61"/>
  <c r="D1012" i="61"/>
  <c r="E71" i="8"/>
  <c r="C49" i="51"/>
  <c r="F1001" i="61"/>
  <c r="C29" i="51"/>
  <c r="I971" i="61"/>
  <c r="G1001" i="61"/>
  <c r="D49" i="51"/>
  <c r="K1001" i="61"/>
  <c r="H49" i="51"/>
  <c r="H1001" i="61"/>
  <c r="E49" i="51"/>
  <c r="H971" i="61"/>
  <c r="I9" i="51"/>
  <c r="F57" i="51"/>
  <c r="F58" i="51" s="1"/>
  <c r="F60" i="51" s="1"/>
  <c r="F64" i="51" s="1"/>
  <c r="K23" i="51" s="1"/>
  <c r="C1001" i="61"/>
  <c r="G29" i="51"/>
  <c r="F29" i="51"/>
  <c r="B1001" i="61"/>
  <c r="D971" i="61"/>
  <c r="E9" i="51"/>
  <c r="G971" i="61"/>
  <c r="H9" i="51"/>
  <c r="E1012" i="61" l="1"/>
  <c r="F71" i="8"/>
  <c r="E57" i="51"/>
  <c r="E58" i="51" s="1"/>
  <c r="E60" i="51" s="1"/>
  <c r="E64" i="51" s="1"/>
  <c r="K22" i="51" s="1"/>
  <c r="H57" i="51"/>
  <c r="H58" i="51" s="1"/>
  <c r="H60" i="51" s="1"/>
  <c r="H64" i="51" s="1"/>
  <c r="K25" i="51" s="1"/>
  <c r="D57" i="51"/>
  <c r="D58" i="51" s="1"/>
  <c r="D60" i="51" s="1"/>
  <c r="D64" i="51" s="1"/>
  <c r="K21" i="51" s="1"/>
  <c r="F1012" i="61" l="1"/>
  <c r="G71" i="8"/>
  <c r="G1012" i="61" l="1"/>
  <c r="H71" i="8"/>
  <c r="H1012" i="61" l="1"/>
  <c r="I71" i="8"/>
  <c r="I1012" i="61" l="1"/>
  <c r="J71" i="8"/>
  <c r="J1012" i="61" l="1"/>
  <c r="K71" i="8"/>
  <c r="K1012" i="61" l="1"/>
  <c r="B101" i="8"/>
  <c r="B1042" i="61" l="1"/>
  <c r="C101" i="8"/>
  <c r="C1042" i="61" l="1"/>
  <c r="D101" i="8"/>
  <c r="D1042" i="61" l="1"/>
  <c r="E101" i="8"/>
  <c r="E1042" i="61" l="1"/>
  <c r="F101" i="8"/>
  <c r="F1042" i="61" l="1"/>
  <c r="G101" i="8"/>
  <c r="G1042" i="61" l="1"/>
  <c r="H101" i="8"/>
  <c r="H1042" i="61" l="1"/>
  <c r="I101" i="8"/>
  <c r="I1042" i="61" l="1"/>
  <c r="J101" i="8"/>
  <c r="J1042" i="61" l="1"/>
  <c r="K101" i="8"/>
  <c r="K1042" i="61" l="1"/>
  <c r="B131" i="8"/>
  <c r="B1072" i="61" l="1"/>
  <c r="C131" i="8"/>
  <c r="C1072" i="61" l="1"/>
  <c r="D131" i="8"/>
  <c r="D1072" i="61" l="1"/>
  <c r="E131" i="8"/>
  <c r="E1072" i="61" l="1"/>
  <c r="F131" i="8"/>
  <c r="F1072" i="61" s="1"/>
  <c r="E5" i="51" l="1"/>
  <c r="K6" i="51"/>
  <c r="K7" i="51"/>
  <c r="K8" i="51"/>
  <c r="K9" i="51"/>
  <c r="K10" i="51"/>
  <c r="K11" i="51"/>
  <c r="K12" i="51"/>
  <c r="K13" i="51"/>
  <c r="K14" i="51"/>
  <c r="K15" i="51"/>
  <c r="C16" i="51"/>
  <c r="D16" i="51"/>
  <c r="E16" i="51"/>
  <c r="F16" i="51"/>
  <c r="G16" i="51"/>
  <c r="H16" i="51"/>
  <c r="I16" i="51"/>
  <c r="K16" i="51"/>
  <c r="C17" i="51"/>
  <c r="D17" i="51"/>
  <c r="E17" i="51"/>
  <c r="F17" i="51"/>
  <c r="G17" i="51"/>
  <c r="H17" i="51"/>
  <c r="I17" i="51"/>
  <c r="K17" i="51"/>
  <c r="C18" i="51"/>
  <c r="D18" i="51"/>
  <c r="E18" i="51"/>
  <c r="F18" i="51"/>
  <c r="G18" i="51"/>
  <c r="H18" i="51"/>
  <c r="I18" i="51"/>
  <c r="K18" i="51"/>
  <c r="K19" i="51"/>
  <c r="C20" i="51"/>
  <c r="D20" i="51"/>
  <c r="E20" i="51"/>
  <c r="F20" i="51"/>
  <c r="G20" i="51"/>
  <c r="H20" i="51"/>
  <c r="I20" i="51"/>
  <c r="K20" i="51"/>
  <c r="C21" i="51"/>
  <c r="D21" i="51"/>
  <c r="E21" i="51"/>
  <c r="F21" i="51"/>
  <c r="G21" i="51"/>
  <c r="H21" i="51"/>
  <c r="I21" i="51"/>
  <c r="C22" i="51"/>
  <c r="D22" i="51"/>
  <c r="E22" i="51"/>
  <c r="F22" i="51"/>
  <c r="G22" i="51"/>
  <c r="H22" i="51"/>
  <c r="I22" i="51"/>
  <c r="C24" i="51"/>
  <c r="D24" i="51"/>
  <c r="E24" i="51"/>
  <c r="F24" i="51"/>
  <c r="G24" i="51"/>
  <c r="H24" i="51"/>
  <c r="I24" i="51"/>
  <c r="C36" i="51"/>
  <c r="D36" i="51"/>
  <c r="E36" i="51"/>
  <c r="F36" i="51"/>
  <c r="G36" i="51"/>
  <c r="H36" i="51"/>
  <c r="I36" i="51"/>
  <c r="C37" i="51"/>
  <c r="D37" i="51"/>
  <c r="E37" i="51"/>
  <c r="F37" i="51"/>
  <c r="G37" i="51"/>
  <c r="H37" i="51"/>
  <c r="I37" i="51"/>
  <c r="C38" i="51"/>
  <c r="D38" i="51"/>
  <c r="E38" i="51"/>
  <c r="F38" i="51"/>
  <c r="G38" i="51"/>
  <c r="H38" i="51"/>
  <c r="I38" i="51"/>
  <c r="C40" i="51"/>
  <c r="D40" i="51"/>
  <c r="E40" i="51"/>
  <c r="F40" i="51"/>
  <c r="G40" i="51"/>
  <c r="H40" i="51"/>
  <c r="I40" i="51"/>
  <c r="C41" i="51"/>
  <c r="D41" i="51"/>
  <c r="E41" i="51"/>
  <c r="C42" i="51"/>
  <c r="D42" i="51"/>
  <c r="E42" i="51"/>
  <c r="C44" i="51"/>
  <c r="D44" i="51"/>
  <c r="E44" i="51"/>
  <c r="F44" i="51"/>
  <c r="G44" i="51"/>
  <c r="H44" i="51"/>
  <c r="I44" i="51"/>
  <c r="C56" i="51"/>
  <c r="C57" i="51"/>
  <c r="C58" i="51"/>
  <c r="C60" i="51"/>
  <c r="C64" i="51"/>
  <c r="G66" i="51"/>
  <c r="J32" i="61"/>
  <c r="L394" i="61"/>
  <c r="L395" i="61"/>
  <c r="L408" i="61"/>
  <c r="N408" i="61"/>
  <c r="L409" i="61"/>
  <c r="N409" i="61"/>
  <c r="P409" i="61"/>
  <c r="P410" i="61"/>
  <c r="P411" i="61"/>
  <c r="I418" i="61"/>
  <c r="I419" i="61"/>
  <c r="E528" i="61"/>
  <c r="G528" i="61"/>
  <c r="S528" i="61"/>
  <c r="G534" i="61"/>
  <c r="S534" i="61"/>
  <c r="G560" i="61"/>
  <c r="S560" i="61"/>
  <c r="D562" i="61"/>
  <c r="G562" i="61"/>
  <c r="G590" i="61"/>
  <c r="J591" i="61"/>
  <c r="J593" i="61"/>
  <c r="J595" i="61"/>
  <c r="J597" i="61"/>
  <c r="J599" i="61"/>
  <c r="J601" i="61"/>
  <c r="M601" i="61"/>
  <c r="J603" i="61"/>
  <c r="P1134" i="61"/>
  <c r="P1135" i="61"/>
  <c r="O1523" i="61"/>
  <c r="P1523" i="61"/>
  <c r="O1766" i="61"/>
  <c r="P1766" i="61"/>
  <c r="O1774" i="61"/>
  <c r="P1774" i="61"/>
  <c r="I1788" i="61"/>
  <c r="I1789" i="61"/>
  <c r="L1789" i="61"/>
  <c r="D1849" i="61"/>
  <c r="I1868" i="61"/>
  <c r="L1868" i="61"/>
  <c r="O1924" i="61"/>
  <c r="P1924" i="61"/>
  <c r="O1925" i="61"/>
  <c r="P1925" i="61"/>
  <c r="P1929" i="61"/>
  <c r="C18" i="50"/>
  <c r="D18" i="50"/>
  <c r="C19" i="50"/>
  <c r="C20" i="50"/>
  <c r="C38" i="50"/>
  <c r="K40" i="50"/>
  <c r="L31" i="3"/>
  <c r="L32" i="3"/>
  <c r="L45" i="3"/>
  <c r="N45" i="3"/>
  <c r="L46" i="3"/>
  <c r="N46" i="3"/>
  <c r="P46" i="3"/>
  <c r="P47" i="3"/>
  <c r="P48" i="3"/>
  <c r="I55" i="3"/>
  <c r="I56" i="3"/>
  <c r="J7" i="7"/>
  <c r="E99" i="15"/>
  <c r="G99" i="15"/>
  <c r="S99" i="15"/>
  <c r="G105" i="15"/>
  <c r="S105" i="15"/>
  <c r="G131" i="15"/>
  <c r="S131" i="15"/>
  <c r="D133" i="15"/>
  <c r="G133" i="15"/>
  <c r="G161" i="15"/>
  <c r="J162" i="15"/>
  <c r="J164" i="15"/>
  <c r="J166" i="15"/>
  <c r="J168" i="15"/>
  <c r="J170" i="15"/>
  <c r="J172" i="15"/>
  <c r="M172" i="15"/>
  <c r="J174" i="15"/>
  <c r="O6" i="11"/>
  <c r="P6" i="11"/>
  <c r="O249" i="11"/>
  <c r="P249" i="11"/>
  <c r="O257" i="11"/>
  <c r="P257" i="11"/>
  <c r="G270" i="11"/>
  <c r="L270" i="11"/>
  <c r="I271" i="11"/>
  <c r="I272" i="11"/>
  <c r="L272" i="11"/>
  <c r="D332" i="11"/>
  <c r="I351" i="11"/>
  <c r="L351" i="11"/>
  <c r="O408" i="11"/>
  <c r="P408" i="11"/>
  <c r="P412" i="11"/>
  <c r="P49" i="6"/>
  <c r="P50" i="6"/>
  <c r="M61" i="49"/>
  <c r="P61" i="49"/>
  <c r="N85" i="49"/>
  <c r="K9" i="53"/>
  <c r="K23" i="53"/>
  <c r="K28" i="53"/>
  <c r="K30" i="53"/>
  <c r="K38" i="53"/>
  <c r="F39" i="53"/>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<sst xmlns="http://schemas.openxmlformats.org/spreadsheetml/2006/main" count="12427" uniqueCount="4412">
  <si>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</si>
  <si>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</si>
  <si>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</si>
  <si>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</si>
  <si>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</si>
  <si>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</si>
  <si>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</si>
  <si>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</si>
  <si>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</si>
  <si>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</si>
  <si>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</si>
  <si>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</si>
  <si>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</si>
  <si>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</si>
  <si>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</si>
  <si>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</si>
  <si>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</si>
  <si>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</si>
  <si>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</si>
  <si>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</si>
  <si>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</si>
  <si>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</si>
  <si>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</si>
  <si>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</si>
  <si>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</si>
  <si>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</si>
  <si>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</si>
  <si>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</si>
  <si>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</si>
  <si>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</si>
  <si>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</si>
  <si>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</si>
  <si>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</si>
  <si>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</si>
  <si>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</si>
  <si>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</si>
  <si>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</si>
  <si>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</si>
  <si>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</si>
  <si>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</si>
  <si>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</si>
  <si>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</si>
  <si>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</si>
  <si>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</si>
  <si>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</si>
  <si>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</si>
  <si>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</si>
  <si>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</si>
  <si>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</si>
  <si>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</si>
  <si>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</si>
  <si>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</si>
  <si>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</si>
  <si>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</si>
  <si>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</si>
  <si>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</si>
  <si>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</si>
  <si>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</si>
  <si>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</si>
  <si>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</si>
  <si>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</si>
  <si>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</si>
  <si>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</si>
  <si>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</si>
  <si>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</si>
  <si>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</si>
  <si>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</si>
  <si>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</si>
  <si>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</si>
  <si>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</si>
  <si>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</si>
  <si>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</si>
  <si>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</si>
  <si>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</si>
  <si>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</si>
  <si>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</si>
  <si>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</si>
  <si>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</si>
  <si>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</si>
  <si>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</si>
  <si>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</si>
  <si>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</si>
  <si>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</si>
  <si>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</si>
  <si>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</si>
  <si>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</si>
  <si>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</si>
  <si>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</si>
  <si>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</si>
  <si>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</si>
  <si>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</si>
  <si>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</si>
  <si>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</si>
  <si>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</si>
  <si>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</si>
  <si>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</si>
  <si>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</si>
  <si>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</si>
  <si>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</si>
  <si>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</si>
  <si>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</si>
  <si>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</si>
  <si>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</si>
  <si>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</si>
  <si>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</si>
  <si>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</si>
  <si>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</si>
  <si>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</si>
  <si>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</si>
  <si>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</si>
  <si>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</si>
  <si>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</si>
  <si>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</si>
  <si>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</si>
  <si>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</si>
  <si>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</si>
  <si>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</si>
  <si>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</si>
  <si>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</si>
  <si>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</si>
  <si>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</si>
  <si>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</si>
  <si>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</si>
  <si>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</si>
  <si>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</si>
  <si>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</si>
  <si>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</si>
  <si>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</si>
  <si>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</si>
  <si>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</si>
  <si>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</si>
  <si>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</si>
  <si>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</si>
  <si>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</si>
  <si>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</si>
  <si>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</si>
  <si>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</si>
  <si>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</si>
  <si>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</si>
  <si>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</si>
  <si>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</si>
  <si>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</si>
  <si>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</si>
  <si>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</si>
  <si>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</si>
  <si>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</si>
  <si>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</si>
  <si>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</si>
  <si>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</si>
  <si>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</si>
  <si>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</si>
  <si>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</si>
  <si>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</si>
  <si>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</si>
  <si>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</si>
  <si>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</si>
  <si>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</si>
  <si>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</si>
  <si>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</si>
  <si>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</si>
  <si>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</si>
  <si>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</si>
  <si>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</si>
  <si>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</si>
  <si>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</si>
  <si>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</si>
  <si>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</si>
  <si>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</si>
  <si>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</si>
  <si>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</si>
  <si>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</si>
  <si>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</si>
  <si>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</si>
  <si>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</si>
  <si>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</si>
  <si>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</si>
  <si>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</si>
  <si>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</si>
  <si>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</si>
  <si>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</si>
  <si>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</si>
  <si>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</si>
  <si>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</si>
  <si>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</si>
  <si>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</si>
  <si>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</si>
  <si>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</si>
  <si>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</si>
  <si>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</si>
  <si>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</si>
  <si>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</si>
  <si>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</si>
  <si>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</si>
  <si>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</si>
  <si>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</si>
  <si>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</si>
  <si>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</si>
  <si>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</si>
  <si>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</si>
  <si>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</si>
  <si>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</si>
  <si>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</si>
  <si>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</si>
  <si>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</si>
  <si>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</si>
  <si>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</si>
  <si>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</si>
  <si>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</si>
  <si>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</si>
  <si>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</si>
  <si>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</si>
  <si>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</si>
  <si>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</si>
  <si>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</si>
  <si>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</si>
  <si>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</si>
  <si>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</si>
  <si>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</si>
  <si>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</si>
  <si>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</si>
  <si>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</si>
  <si>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</si>
  <si>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</si>
  <si>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</si>
  <si>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</si>
  <si>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</si>
  <si>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</si>
  <si>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</si>
  <si>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</si>
  <si>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</si>
  <si>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</si>
  <si>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</si>
  <si>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</si>
  <si>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</si>
  <si>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</si>
  <si>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</si>
  <si>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</si>
  <si>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</si>
  <si>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</si>
  <si>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</si>
  <si>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</si>
  <si>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</si>
  <si>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</si>
  <si>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</si>
  <si>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</si>
  <si>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</si>
  <si>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</si>
  <si>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</si>
  <si>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</si>
  <si>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</si>
  <si>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</si>
  <si>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</si>
  <si>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</si>
  <si>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</si>
  <si>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</si>
  <si>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</si>
  <si>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</si>
  <si>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</si>
  <si>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</si>
  <si>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</si>
  <si>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</si>
  <si>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</si>
  <si>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</si>
  <si>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</si>
  <si>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</si>
  <si>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</si>
  <si>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</si>
  <si>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</si>
  <si>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</si>
  <si>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</si>
  <si>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</si>
  <si>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</si>
  <si>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</si>
  <si>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</si>
  <si>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</si>
  <si>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</si>
  <si>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</si>
  <si>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</si>
  <si>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</si>
  <si>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</si>
  <si>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</si>
  <si>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</si>
  <si>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</si>
  <si>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</si>
  <si>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</si>
  <si>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</si>
  <si>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</si>
  <si>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</si>
  <si>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</si>
  <si>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</si>
  <si>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</si>
  <si>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</si>
  <si>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</si>
  <si>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</si>
  <si>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</si>
  <si>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</si>
  <si>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</si>
  <si>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</si>
  <si>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</si>
  <si>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</si>
  <si>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</si>
  <si>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</si>
  <si>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</si>
  <si>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</si>
  <si>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</si>
  <si>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</si>
  <si>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</si>
  <si>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</si>
  <si>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</si>
  <si>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</si>
  <si>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</si>
  <si>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</si>
  <si>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</si>
  <si>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</si>
  <si>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</si>
  <si>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</si>
  <si>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</si>
  <si>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</si>
  <si>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</si>
  <si>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</si>
  <si>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</si>
  <si>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</si>
  <si>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</si>
  <si>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</si>
  <si>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</si>
  <si>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</si>
  <si>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</si>
  <si>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</si>
  <si>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</si>
  <si>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</si>
  <si>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</si>
  <si>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</si>
  <si>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</si>
  <si>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</si>
  <si>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</si>
  <si>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</si>
  <si>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</si>
  <si>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</si>
  <si>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</si>
  <si>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</si>
  <si>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</si>
  <si>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</si>
  <si>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</si>
  <si>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</si>
  <si>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</si>
  <si>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</si>
  <si>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</si>
  <si>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</si>
  <si>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</si>
  <si>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</si>
  <si>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</si>
  <si>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</si>
  <si>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</si>
  <si>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</si>
  <si>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</si>
  <si>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</si>
  <si>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</si>
  <si>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</si>
  <si>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</si>
  <si>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</si>
  <si>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</si>
  <si>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</si>
  <si>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</si>
  <si>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</si>
  <si>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</si>
  <si>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</si>
  <si>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</si>
  <si>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</si>
  <si>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</si>
  <si>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</si>
  <si>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</si>
  <si>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</si>
  <si>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</si>
  <si>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</si>
  <si>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</si>
  <si>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</si>
  <si>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</si>
  <si>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</si>
  <si>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</si>
  <si>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</si>
  <si>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</si>
  <si>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</si>
  <si>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</si>
  <si>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</si>
  <si>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</si>
  <si>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</si>
  <si>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</si>
  <si>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</si>
  <si>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</si>
  <si>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</si>
  <si>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</si>
  <si>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</si>
  <si>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</si>
  <si>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</si>
  <si>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</si>
  <si>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</si>
  <si>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</si>
  <si>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</si>
  <si>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</si>
  <si>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</si>
  <si>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</si>
  <si>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</si>
  <si>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</si>
  <si>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</si>
  <si>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</si>
  <si>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</si>
  <si>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</si>
  <si>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</si>
  <si>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</si>
  <si>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</si>
  <si>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</si>
  <si>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</si>
  <si>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</si>
  <si>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</si>
  <si>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</si>
  <si>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</si>
  <si>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</si>
  <si>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</si>
  <si>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</si>
  <si>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</si>
  <si>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</si>
  <si>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</si>
  <si>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</si>
  <si>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</si>
  <si>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</si>
  <si>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</si>
  <si>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</si>
  <si>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</si>
  <si>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</si>
  <si>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</si>
  <si>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</si>
  <si>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</si>
  <si>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</si>
  <si>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</si>
  <si>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</si>
  <si>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</si>
  <si>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</si>
  <si>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</si>
  <si>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</si>
  <si>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</si>
  <si>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</si>
  <si>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</si>
  <si>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</si>
  <si>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</si>
  <si>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</si>
  <si>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</si>
  <si>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</si>
  <si>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</si>
  <si>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</si>
  <si>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</si>
  <si>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</si>
  <si>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</si>
  <si>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</si>
  <si>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</si>
  <si>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</si>
  <si>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</si>
  <si>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</si>
  <si>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</si>
  <si>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</si>
  <si>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</si>
  <si>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</si>
  <si>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</si>
  <si>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</si>
  <si>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</si>
  <si>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</si>
  <si>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</si>
  <si>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</si>
  <si>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</si>
  <si>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</si>
  <si>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</si>
  <si>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</si>
  <si>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</si>
  <si>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</si>
  <si>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</si>
  <si>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</si>
  <si>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</si>
  <si>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</si>
  <si>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</si>
  <si>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</si>
  <si>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</si>
  <si>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</si>
  <si>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</si>
  <si>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</si>
  <si>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</si>
  <si>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</si>
  <si>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</si>
  <si>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</si>
  <si>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</si>
  <si>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</si>
  <si>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</si>
  <si>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</si>
  <si>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</si>
  <si>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</si>
  <si>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</si>
  <si>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</si>
  <si>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</si>
  <si>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</si>
  <si>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</si>
  <si>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</si>
  <si>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</si>
  <si>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</si>
  <si>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</si>
  <si>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</si>
  <si>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</si>
  <si>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</si>
  <si>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</si>
  <si>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</si>
  <si>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</si>
  <si>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</si>
  <si>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</si>
  <si>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</si>
  <si>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</si>
  <si>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</si>
  <si>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</si>
  <si>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</si>
  <si>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</si>
  <si>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</si>
  <si>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</si>
  <si>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</si>
  <si>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</si>
  <si>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</si>
  <si>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</si>
  <si>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</si>
  <si>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</si>
  <si>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</si>
  <si>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</si>
  <si>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</si>
  <si>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</si>
  <si>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</si>
  <si>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</si>
  <si>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</si>
  <si>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</si>
  <si>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</si>
  <si>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</si>
  <si>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</si>
  <si>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</si>
  <si>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</si>
  <si>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</si>
  <si>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</si>
  <si>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</si>
  <si>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</si>
  <si>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</si>
  <si>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</si>
  <si>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</si>
  <si>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</si>
  <si>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</si>
  <si>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</si>
  <si>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</si>
  <si>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</si>
  <si>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</si>
  <si>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</si>
  <si>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</si>
  <si>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</si>
  <si>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</si>
  <si>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</si>
  <si>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</si>
  <si>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</si>
  <si>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</si>
  <si>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</si>
  <si>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</si>
  <si>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</si>
  <si>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</si>
  <si>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</si>
  <si>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</si>
  <si>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</si>
  <si>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</si>
  <si>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</si>
  <si>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</si>
  <si>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</si>
  <si>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</si>
  <si>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</si>
  <si>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</si>
  <si>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</si>
  <si>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</si>
  <si>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</si>
  <si>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</si>
  <si>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</si>
  <si>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</si>
  <si>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</si>
  <si>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</si>
  <si>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</si>
  <si>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</si>
  <si>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</si>
  <si>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</si>
  <si>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</si>
  <si>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</si>
  <si>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</si>
  <si>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</si>
  <si>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</si>
  <si>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</si>
  <si>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</si>
  <si>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</si>
  <si>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</si>
  <si>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</si>
  <si>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</si>
  <si>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</si>
  <si>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</si>
  <si>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</si>
  <si>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</si>
  <si>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</si>
  <si>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</si>
  <si>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</si>
  <si>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</si>
  <si>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</si>
  <si>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</si>
  <si>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</si>
  <si>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</si>
  <si>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</si>
  <si>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</si>
  <si>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</si>
  <si>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</si>
  <si>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</si>
  <si>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</si>
  <si>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</si>
  <si>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</si>
  <si>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</si>
  <si>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</si>
  <si>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</si>
  <si>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</si>
  <si>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</si>
  <si>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</si>
  <si>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</si>
  <si>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</si>
  <si>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</si>
  <si>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</si>
  <si>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</si>
  <si>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</si>
  <si>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</si>
  <si>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</si>
  <si>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</si>
  <si>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</si>
  <si>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</si>
  <si>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</si>
  <si>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</si>
  <si>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</si>
  <si>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</si>
  <si>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</si>
  <si>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</si>
  <si>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</si>
  <si>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</si>
  <si>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</si>
  <si>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</si>
  <si>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</si>
  <si>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</si>
  <si>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</si>
  <si>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</si>
  <si>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</si>
  <si>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</si>
  <si>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</si>
  <si>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</si>
  <si>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</si>
  <si>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</si>
  <si>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</si>
  <si>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</si>
  <si>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</si>
  <si>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</si>
  <si>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</si>
  <si>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</si>
  <si>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</si>
  <si>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</si>
  <si>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</si>
  <si>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</si>
  <si>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</si>
  <si>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</si>
  <si>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</si>
  <si>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</si>
  <si>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</si>
  <si>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</si>
  <si>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</si>
  <si>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</si>
  <si>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</si>
  <si>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</si>
  <si>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</si>
  <si>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</si>
  <si>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</si>
  <si>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</si>
  <si>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</si>
  <si>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</si>
  <si>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</si>
  <si>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</si>
  <si>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</si>
  <si>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</si>
  <si>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</si>
  <si>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</si>
  <si>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</si>
  <si>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</si>
  <si>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</si>
  <si>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</si>
  <si>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</si>
  <si>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</si>
  <si>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</si>
  <si>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</si>
  <si>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</si>
  <si>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</si>
  <si>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</si>
  <si>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</si>
  <si>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</si>
  <si>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</si>
  <si>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</si>
  <si>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</si>
  <si>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</si>
  <si>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</si>
  <si>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</si>
  <si>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</si>
  <si>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</si>
  <si>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</si>
  <si>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</si>
  <si>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</si>
  <si>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</si>
  <si>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</si>
  <si>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</si>
  <si>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</si>
  <si>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</si>
  <si>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</si>
  <si>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</si>
  <si>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</si>
  <si>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</si>
  <si>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</si>
  <si>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</si>
  <si>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</si>
  <si>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</si>
  <si>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</si>
  <si>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</si>
  <si>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</si>
  <si>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</si>
  <si>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</si>
  <si>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</si>
  <si>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</si>
  <si>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</si>
  <si>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</si>
  <si>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</si>
  <si>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</si>
  <si>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</si>
  <si>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</si>
  <si>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</si>
  <si>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</si>
  <si>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</si>
  <si>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</si>
  <si>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</si>
  <si>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</si>
  <si>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</si>
  <si>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</si>
  <si>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</si>
  <si>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</si>
  <si>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</si>
  <si>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</si>
  <si>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</si>
  <si>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</si>
  <si>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</si>
  <si>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</si>
  <si>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</si>
  <si>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</si>
  <si>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</si>
  <si>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</si>
  <si>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</si>
  <si>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</si>
  <si>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</si>
  <si>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</si>
  <si>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</si>
  <si>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</si>
  <si>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</si>
  <si>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</si>
  <si>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</si>
  <si>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</si>
  <si>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</si>
  <si>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</si>
  <si>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</si>
  <si>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</si>
  <si>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</si>
  <si>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</si>
  <si>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</si>
  <si>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</si>
  <si>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</si>
  <si>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</si>
  <si>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</si>
  <si>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</si>
  <si>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</si>
  <si>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</si>
  <si>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</si>
  <si>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</si>
  <si>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</si>
  <si>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</si>
  <si>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</si>
  <si>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</si>
  <si>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</si>
  <si>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</si>
  <si>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</si>
  <si>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</si>
  <si>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</si>
  <si>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</si>
  <si>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</si>
  <si>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</si>
  <si>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</si>
  <si>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</si>
  <si>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</si>
  <si>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</si>
  <si>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</si>
  <si>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</si>
  <si>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</si>
  <si>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</si>
  <si>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</si>
  <si>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</si>
  <si>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</si>
  <si>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</si>
  <si>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</si>
  <si>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</si>
  <si>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</si>
  <si>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</si>
  <si>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</si>
  <si>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</si>
  <si>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</si>
  <si>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</si>
  <si>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</si>
  <si>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</si>
  <si>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</si>
  <si>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</si>
  <si>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</si>
  <si>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</si>
  <si>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</si>
  <si>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</si>
  <si>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</si>
  <si>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</si>
  <si>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</si>
  <si>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</si>
  <si>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</si>
  <si>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</si>
  <si>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</si>
  <si>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</si>
  <si>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</si>
  <si>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</si>
  <si>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</si>
  <si>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</si>
  <si>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</si>
  <si>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</si>
  <si>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</si>
  <si>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</si>
  <si>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</si>
  <si>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</si>
  <si>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</si>
  <si>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</si>
  <si>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</si>
  <si>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</si>
  <si>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</si>
  <si>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</si>
  <si>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</si>
  <si>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</si>
  <si>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</si>
  <si>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</si>
  <si>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</si>
  <si>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</si>
  <si>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</si>
  <si>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</si>
  <si>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</si>
  <si>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</si>
  <si>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</si>
  <si>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</si>
  <si>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</si>
  <si>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</si>
  <si>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</si>
  <si>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</si>
  <si>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</si>
  <si>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</si>
  <si>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</si>
  <si>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</si>
  <si>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</si>
  <si>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</si>
  <si>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</si>
  <si>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</si>
  <si>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</si>
  <si>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</si>
  <si>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</si>
  <si>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</si>
  <si>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</si>
  <si>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</si>
  <si>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</si>
  <si>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</si>
  <si>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</si>
  <si>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</si>
  <si>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</si>
  <si>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</si>
  <si>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</si>
  <si>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</si>
  <si>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</si>
  <si>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</si>
  <si>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</si>
  <si>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</si>
  <si>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</si>
  <si>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</si>
  <si>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</si>
  <si>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</si>
  <si>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</si>
  <si>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</si>
  <si>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</si>
  <si>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</si>
  <si>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</si>
  <si>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</si>
  <si>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</si>
  <si>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</si>
  <si>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</si>
  <si>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</si>
  <si>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</si>
  <si>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</si>
  <si>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</si>
  <si>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</si>
  <si>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</si>
  <si>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</si>
  <si>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</si>
  <si>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</si>
  <si>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</si>
  <si>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</si>
  <si>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</si>
  <si>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</si>
  <si>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</si>
  <si>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</si>
  <si>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</si>
  <si>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</si>
  <si>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</si>
  <si>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</si>
  <si>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</si>
  <si>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</si>
  <si>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</si>
  <si>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</si>
  <si>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</si>
  <si>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</si>
  <si>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</si>
  <si>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</si>
  <si>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</si>
  <si>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</si>
  <si>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</si>
  <si>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</si>
  <si>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</si>
  <si>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</si>
  <si>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</si>
  <si>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</si>
  <si>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</si>
  <si>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</si>
  <si>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</si>
  <si>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</si>
  <si>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</si>
  <si>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</si>
  <si>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</si>
  <si>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</si>
  <si>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</si>
  <si>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</si>
  <si>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</si>
  <si>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</si>
  <si>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</si>
  <si>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</si>
  <si>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</si>
  <si>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</si>
  <si>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</si>
  <si>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</si>
  <si>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</si>
  <si>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</si>
  <si>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</si>
  <si>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</si>
  <si>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</si>
  <si>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</si>
  <si>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</si>
  <si>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</si>
  <si>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</si>
  <si>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</si>
  <si>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</si>
  <si>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</si>
  <si>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</si>
  <si>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</si>
  <si>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</si>
  <si>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</si>
  <si>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</si>
  <si>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</si>
  <si>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</si>
  <si>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</si>
  <si>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</si>
  <si>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</si>
  <si>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</si>
  <si>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</si>
  <si>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</si>
  <si>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</si>
  <si>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</si>
  <si>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</si>
  <si>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</si>
  <si>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</si>
  <si>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</si>
  <si>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</si>
  <si>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</si>
  <si>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</si>
  <si>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</si>
  <si>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</si>
  <si>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</si>
  <si>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</si>
  <si>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</si>
  <si>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</si>
  <si>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</si>
  <si>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</si>
  <si>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</si>
  <si>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</si>
  <si>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</si>
  <si>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</si>
  <si>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</si>
  <si>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</si>
  <si>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</si>
  <si>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</si>
  <si>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</si>
  <si>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</si>
  <si>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</si>
  <si>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</si>
  <si>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</si>
  <si>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</si>
  <si>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</si>
  <si>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</si>
  <si>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</si>
  <si>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</si>
  <si>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</si>
  <si>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</si>
  <si>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</si>
  <si>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</si>
  <si>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</si>
  <si>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</si>
  <si>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</si>
  <si>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</si>
  <si>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</si>
  <si>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</si>
  <si>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</si>
  <si>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</si>
  <si>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</si>
  <si>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</si>
  <si>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</si>
  <si>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</si>
  <si>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</si>
  <si>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</si>
  <si>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</si>
  <si>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</si>
  <si>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</si>
  <si>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</si>
  <si>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</si>
  <si>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</si>
  <si>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</si>
  <si>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</si>
  <si>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</si>
  <si>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</si>
  <si>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</si>
  <si>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</si>
  <si>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</si>
  <si>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</si>
  <si>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</si>
  <si>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</si>
  <si>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</si>
  <si>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</si>
  <si>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</si>
  <si>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</si>
  <si>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</si>
  <si>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</si>
  <si>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</si>
  <si>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</si>
  <si>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</si>
  <si>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</si>
  <si>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</si>
  <si>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</si>
  <si>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</si>
  <si>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</si>
  <si>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</si>
  <si>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</si>
  <si>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</si>
  <si>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</si>
  <si>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</si>
  <si>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</si>
  <si>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</si>
  <si>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</si>
  <si>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</si>
  <si>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</si>
  <si>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</si>
  <si>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</si>
  <si>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</si>
  <si>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</si>
  <si>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</si>
  <si>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</si>
  <si>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</si>
  <si>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</si>
  <si>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</si>
  <si>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</si>
  <si>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</si>
  <si>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</si>
  <si>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</si>
  <si>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</si>
  <si>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</si>
  <si>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</si>
  <si>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</si>
  <si>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</si>
  <si>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</si>
  <si>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</si>
  <si>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</si>
  <si>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</si>
  <si>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</si>
  <si>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</si>
  <si>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</si>
  <si>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</si>
  <si>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</si>
  <si>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</si>
  <si>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</si>
  <si>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</si>
  <si>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</si>
  <si>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</si>
  <si>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</si>
  <si>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</si>
  <si>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</si>
  <si>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</si>
  <si>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</si>
  <si>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</si>
  <si>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</si>
  <si>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</si>
  <si>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</si>
  <si>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</si>
  <si>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</si>
  <si>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</si>
  <si>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</si>
  <si>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</si>
  <si>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</si>
  <si>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</si>
  <si>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</si>
  <si>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</si>
  <si>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</si>
  <si>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</si>
  <si>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</si>
  <si>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</si>
  <si>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</si>
  <si>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</si>
  <si>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</si>
  <si>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</si>
  <si>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</si>
  <si>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</si>
  <si>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</si>
  <si>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</si>
  <si>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</si>
  <si>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</si>
  <si>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</si>
  <si>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</si>
  <si>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</si>
  <si>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</si>
  <si>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</si>
  <si>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</si>
  <si>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</si>
  <si>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</si>
  <si>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</si>
  <si>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</si>
  <si>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</si>
  <si>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</si>
  <si>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</si>
  <si>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</si>
  <si>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</si>
  <si>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</si>
  <si>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</si>
  <si>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</si>
  <si>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</si>
  <si>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</si>
  <si>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</si>
  <si>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</si>
  <si>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</si>
  <si>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</si>
  <si>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</si>
  <si>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</si>
  <si>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</si>
  <si>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</si>
  <si>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</si>
  <si>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</si>
  <si>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</si>
  <si>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</si>
  <si>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</si>
  <si>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</si>
  <si>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</si>
  <si>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</si>
  <si>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</si>
  <si>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</si>
  <si>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</si>
  <si>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</si>
  <si>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</si>
  <si>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</si>
  <si>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</si>
  <si>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</si>
  <si>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</si>
  <si>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</si>
  <si>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</si>
  <si>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</si>
  <si>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</si>
  <si>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</si>
  <si>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</si>
  <si>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</si>
  <si>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</si>
  <si>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</si>
  <si>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</si>
  <si>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</si>
  <si>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</si>
  <si>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</si>
  <si>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</si>
  <si>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</si>
  <si>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</si>
  <si>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</si>
  <si>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</si>
  <si>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</si>
  <si>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</si>
  <si>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</si>
  <si>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</si>
  <si>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</si>
  <si>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</si>
  <si>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</si>
  <si>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</si>
  <si>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</si>
  <si>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</si>
  <si>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</si>
  <si>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</si>
  <si>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</si>
  <si>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</si>
  <si>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</si>
  <si>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</si>
  <si>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</si>
  <si>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</si>
  <si>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</si>
  <si>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</si>
  <si>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</si>
  <si>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</si>
  <si>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</si>
  <si>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</si>
  <si>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</si>
  <si>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</si>
  <si>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</si>
  <si>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</si>
  <si>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</si>
  <si>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</si>
  <si>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</si>
  <si>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</si>
  <si>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</si>
  <si>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</si>
  <si>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</si>
  <si>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</si>
  <si>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</si>
  <si>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</si>
  <si>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</si>
  <si>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</si>
  <si>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</si>
  <si>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</si>
  <si>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</si>
  <si>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</si>
  <si>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</si>
  <si>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</si>
  <si>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</si>
  <si>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</si>
  <si>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</si>
  <si>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</si>
  <si>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</si>
  <si>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</si>
  <si>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</si>
  <si>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</si>
  <si>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</si>
  <si>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</si>
  <si>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</si>
  <si>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</si>
  <si>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</si>
  <si>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</si>
  <si>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</si>
  <si>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</si>
  <si>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</si>
  <si>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</si>
  <si>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</si>
  <si>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</si>
  <si>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</si>
  <si>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</si>
  <si>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</si>
  <si>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</si>
  <si>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</si>
  <si>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</si>
  <si>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</si>
  <si>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</si>
  <si>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</si>
  <si>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</si>
  <si>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</si>
  <si>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</si>
  <si>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</si>
  <si>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</si>
  <si>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</si>
  <si>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</si>
  <si>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</si>
  <si>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</si>
  <si>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</si>
  <si>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</si>
  <si>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</si>
  <si>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</si>
  <si>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</si>
  <si>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</si>
  <si>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</si>
  <si>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</si>
  <si>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</si>
  <si>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</si>
  <si>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</si>
  <si>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</si>
  <si>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</si>
  <si>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</si>
  <si>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</si>
  <si>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</si>
  <si>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</si>
  <si>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</si>
  <si>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</si>
  <si>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</si>
  <si>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</si>
  <si>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</si>
  <si>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</si>
  <si>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</si>
  <si>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</si>
  <si>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</si>
  <si>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</si>
  <si>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</si>
  <si>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</si>
  <si>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</si>
  <si>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</si>
  <si>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</si>
  <si>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</si>
  <si>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</si>
  <si>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</si>
  <si>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</si>
  <si>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</si>
  <si>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</si>
  <si>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</si>
  <si>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</si>
  <si>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</si>
  <si>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</si>
  <si>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</si>
  <si>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</si>
  <si>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</si>
  <si>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</si>
  <si>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</si>
  <si>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</si>
  <si>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</si>
  <si>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</si>
  <si>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</si>
  <si>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</si>
  <si>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</si>
  <si>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</si>
  <si>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</si>
  <si>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</si>
  <si>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</si>
  <si>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</si>
  <si>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</si>
  <si>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</si>
  <si>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</si>
  <si>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</si>
  <si>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</si>
  <si>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</si>
  <si>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</si>
  <si>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</si>
  <si>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</si>
  <si>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</si>
  <si>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</si>
  <si>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</si>
  <si>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</si>
  <si>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</si>
  <si>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</si>
  <si>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</si>
  <si>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</si>
  <si>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</si>
  <si>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</si>
  <si>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</si>
  <si>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</si>
  <si>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</si>
  <si>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</si>
  <si>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</si>
  <si>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</si>
  <si>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</si>
  <si>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</si>
  <si>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</si>
  <si>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</si>
  <si>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</si>
  <si>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</si>
  <si>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</si>
  <si>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</si>
  <si>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</si>
  <si>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</si>
  <si>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</si>
  <si>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</si>
  <si>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</si>
  <si>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</si>
  <si>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</si>
  <si>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</si>
  <si>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</si>
  <si>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</si>
  <si>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</si>
  <si>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</si>
  <si>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</si>
  <si>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</si>
  <si>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</si>
  <si>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</si>
  <si>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</si>
  <si>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</si>
  <si>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</si>
  <si>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</si>
  <si>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</si>
  <si>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</si>
  <si>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</si>
  <si>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</si>
  <si>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</si>
  <si>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</si>
  <si>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</si>
  <si>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</si>
  <si>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</si>
  <si>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</si>
  <si>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</si>
  <si>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</si>
  <si>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</si>
  <si>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</si>
  <si>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</si>
  <si>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</si>
  <si>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</si>
  <si>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</si>
  <si>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</si>
  <si>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</si>
  <si>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</si>
  <si>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</si>
  <si>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</si>
  <si>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</si>
  <si>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</si>
  <si>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</si>
  <si>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</si>
  <si>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</si>
  <si>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</si>
  <si>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</si>
  <si>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</si>
  <si>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</si>
  <si>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</si>
  <si>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</si>
  <si>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</si>
  <si>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</si>
  <si>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</si>
  <si>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</si>
  <si>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</si>
  <si>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</si>
  <si>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</si>
  <si>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</si>
  <si>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</si>
  <si>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</si>
  <si>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</si>
  <si>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</si>
  <si>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</si>
  <si>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</si>
  <si>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</si>
  <si>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</si>
  <si>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</si>
  <si>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</si>
  <si>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</si>
  <si>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</si>
  <si>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</si>
  <si>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</si>
  <si>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</si>
  <si>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</si>
  <si>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</si>
  <si>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</si>
  <si>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</si>
  <si>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</si>
  <si>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</si>
  <si>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</si>
  <si>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</si>
  <si>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</si>
  <si>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</si>
  <si>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</si>
  <si>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</si>
  <si>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</si>
  <si>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</si>
  <si>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</si>
  <si>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</si>
  <si>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</si>
  <si>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</si>
  <si>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</si>
  <si>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</si>
  <si>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</si>
  <si>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</si>
  <si>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</si>
  <si>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</si>
  <si>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</si>
  <si>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</si>
  <si>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</si>
  <si>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</si>
  <si>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</si>
  <si>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</si>
  <si>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</si>
  <si>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</si>
  <si>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</si>
  <si>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</si>
  <si>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</si>
  <si>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</si>
  <si>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</si>
  <si>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</si>
  <si>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</si>
  <si>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</si>
  <si>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</si>
  <si>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</si>
  <si>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</si>
  <si>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</si>
  <si>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</si>
  <si>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</si>
  <si>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</si>
  <si>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</si>
  <si>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</si>
  <si>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</si>
  <si>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</si>
  <si>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</si>
  <si>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</si>
  <si>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</si>
  <si>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</si>
  <si>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</si>
  <si>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</si>
  <si>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</si>
  <si>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</si>
  <si>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</si>
  <si>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</si>
  <si>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</si>
  <si>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</si>
  <si>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</si>
  <si>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</si>
  <si>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</si>
  <si>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</si>
  <si>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</si>
  <si>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</si>
  <si>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</si>
  <si>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</si>
  <si>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</si>
  <si>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</si>
  <si>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</si>
  <si>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</si>
  <si>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</si>
  <si>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</si>
  <si>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</si>
  <si>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</si>
  <si>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</si>
  <si>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</si>
  <si>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</si>
  <si>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</si>
  <si>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</si>
  <si>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</si>
  <si>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</si>
  <si>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</si>
  <si>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</si>
  <si>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</si>
  <si>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</si>
  <si>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</si>
  <si>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</si>
  <si>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</si>
  <si>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</si>
  <si>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</si>
  <si>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</si>
  <si>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</si>
  <si>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</si>
  <si>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</si>
  <si>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</si>
  <si>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</si>
  <si>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</si>
  <si>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</si>
  <si>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</si>
  <si>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</si>
  <si>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</si>
  <si>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</si>
  <si>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</si>
  <si>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</si>
  <si>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</si>
  <si>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</si>
  <si>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</si>
  <si>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</si>
  <si>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</si>
  <si>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</si>
  <si>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</si>
  <si>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</si>
  <si>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</si>
  <si>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</si>
  <si>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</si>
  <si>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</si>
  <si>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</si>
  <si>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</si>
  <si>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</si>
  <si>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</si>
  <si>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</si>
  <si>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</si>
  <si>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</si>
  <si>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</si>
  <si>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</si>
  <si>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</si>
  <si>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</si>
  <si>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</si>
  <si>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</si>
  <si>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</si>
  <si>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</si>
  <si>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</si>
  <si>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</si>
  <si>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</si>
  <si>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</si>
  <si>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</si>
  <si>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</si>
  <si>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</si>
  <si>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</si>
  <si>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</si>
  <si>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</si>
  <si>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</si>
  <si>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</si>
  <si>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</si>
  <si>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</si>
  <si>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</si>
  <si>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</si>
  <si>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</si>
  <si>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</si>
  <si>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</si>
  <si>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</si>
  <si>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</si>
  <si>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</si>
  <si>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</si>
  <si>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</si>
  <si>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</si>
  <si>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</si>
  <si>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</si>
  <si>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</si>
  <si>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</si>
  <si>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</si>
  <si>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</si>
  <si>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</si>
  <si>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</si>
  <si>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</si>
  <si>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</si>
  <si>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</si>
  <si>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</si>
  <si>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</si>
  <si>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</si>
  <si>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</si>
  <si>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</si>
  <si>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</si>
  <si>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</si>
  <si>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</si>
  <si>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</si>
  <si>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</si>
  <si>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</si>
  <si>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</si>
  <si>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</si>
  <si>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</si>
  <si>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</si>
  <si>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</si>
  <si>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</si>
  <si>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</si>
  <si>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</si>
  <si>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</si>
  <si>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</si>
  <si>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</si>
  <si>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</si>
  <si>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</si>
  <si>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</si>
  <si>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</si>
  <si>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</si>
  <si>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</si>
  <si>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</si>
  <si>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</si>
  <si>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</si>
  <si>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</si>
  <si>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</si>
  <si>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</si>
  <si>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</si>
  <si>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</si>
  <si>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</si>
  <si>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</si>
  <si>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</si>
  <si>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</si>
  <si>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</si>
  <si>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</si>
  <si>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</si>
  <si>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</si>
  <si>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</si>
  <si>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</si>
  <si>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</si>
  <si>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</si>
  <si>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</si>
  <si>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</si>
  <si>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</si>
  <si>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</si>
  <si>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</si>
  <si>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</si>
  <si>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</si>
  <si>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</si>
  <si>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</si>
  <si>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</si>
  <si>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</si>
  <si>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</si>
  <si>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</si>
  <si>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</si>
  <si>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</si>
  <si>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</si>
  <si>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</si>
  <si>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</si>
  <si>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</si>
  <si>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</si>
  <si>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</si>
  <si>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</si>
  <si>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</si>
  <si>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</si>
  <si>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</si>
  <si>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</si>
  <si>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</si>
  <si>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</si>
  <si>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</si>
  <si>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</si>
  <si>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</si>
  <si>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</si>
  <si>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</si>
  <si>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</si>
  <si>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</si>
  <si>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</si>
  <si>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</si>
  <si>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</si>
  <si>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</si>
  <si>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</si>
  <si>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</si>
  <si>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</si>
  <si>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</si>
  <si>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</si>
  <si>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</si>
  <si>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</si>
  <si>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</si>
  <si>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</si>
  <si>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</si>
  <si>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</si>
  <si>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</si>
  <si>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</si>
  <si>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</si>
  <si>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</si>
  <si>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</si>
  <si>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</si>
  <si>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</si>
  <si>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</si>
  <si>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</si>
  <si>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</si>
  <si>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</si>
  <si>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</si>
  <si>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</si>
  <si>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</si>
  <si>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</si>
  <si>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</si>
  <si>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</si>
  <si>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</si>
  <si>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</si>
  <si>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</si>
  <si>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</si>
  <si>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</si>
  <si>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</si>
  <si>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</si>
  <si>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</si>
  <si>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</si>
  <si>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</si>
  <si>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</si>
  <si>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</si>
  <si>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</si>
  <si>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</si>
  <si>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</si>
  <si>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</si>
  <si>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</si>
  <si>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</si>
  <si>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</si>
  <si>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</si>
  <si>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</si>
  <si>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</si>
  <si>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</si>
  <si>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</si>
  <si>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</si>
  <si>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</si>
  <si>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</si>
  <si>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</si>
  <si>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</si>
  <si>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</si>
  <si>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</si>
  <si>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</si>
  <si>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</si>
  <si>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</si>
  <si>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</si>
  <si>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</si>
  <si>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</si>
  <si>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</si>
  <si>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</si>
  <si>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</si>
  <si>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</si>
  <si>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</si>
  <si>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</si>
  <si>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</si>
  <si>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</si>
  <si>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</si>
  <si>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</si>
  <si>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</si>
  <si>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</si>
  <si>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</si>
  <si>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</si>
  <si>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</si>
  <si>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</si>
  <si>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</si>
  <si>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</si>
  <si>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</si>
  <si>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</si>
  <si>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</si>
  <si>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</si>
  <si>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</si>
  <si>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</si>
  <si>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</si>
  <si>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</si>
  <si>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</si>
  <si>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</si>
  <si>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</si>
  <si>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</si>
  <si>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</si>
  <si>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</si>
  <si>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</si>
  <si>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</si>
  <si>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</si>
  <si>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</si>
  <si>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</si>
  <si>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</si>
  <si>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</si>
  <si>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</si>
  <si>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</si>
  <si>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</si>
  <si>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</si>
  <si>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</si>
  <si>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</si>
  <si>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</si>
  <si>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</si>
  <si>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</si>
  <si>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</si>
  <si>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</si>
  <si>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</si>
  <si>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</si>
  <si>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</si>
  <si>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</si>
  <si>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</si>
  <si>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</si>
  <si>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</si>
  <si>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</si>
  <si>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</si>
  <si>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</si>
  <si>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</si>
  <si>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</si>
  <si>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</si>
  <si>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</si>
  <si>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</si>
  <si>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</si>
  <si>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</si>
  <si>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</si>
  <si>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</si>
  <si>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</si>
  <si>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</si>
  <si>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</si>
  <si>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</si>
  <si>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</si>
  <si>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</si>
  <si>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</si>
  <si>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</si>
  <si>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</si>
  <si>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</si>
  <si>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</si>
  <si>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</si>
  <si>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</si>
  <si>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</si>
  <si>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</si>
  <si>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</si>
  <si>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</si>
  <si>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</si>
  <si>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</si>
  <si>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</si>
  <si>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</si>
  <si>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</si>
  <si>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</si>
  <si>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</si>
  <si>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</si>
  <si>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</si>
  <si>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</si>
  <si>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</si>
  <si>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</si>
  <si>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</si>
  <si>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</si>
  <si>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</si>
  <si>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</si>
  <si>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</si>
  <si>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</si>
  <si>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</si>
  <si>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</si>
  <si>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</si>
  <si>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</si>
  <si>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</si>
  <si>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</si>
  <si>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</si>
  <si>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</si>
  <si>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</si>
  <si>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</si>
  <si>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</si>
  <si>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</si>
  <si>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</si>
  <si>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</si>
  <si>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</si>
  <si>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</si>
  <si>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</si>
  <si>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</si>
  <si>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</si>
  <si>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</si>
  <si>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</si>
  <si>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</si>
  <si>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</si>
  <si>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</si>
  <si>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</si>
  <si>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</si>
  <si>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</si>
  <si>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</si>
  <si>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</si>
  <si>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</si>
  <si>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</si>
  <si>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</si>
  <si>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</si>
  <si>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</si>
  <si>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</si>
  <si>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</si>
  <si>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</si>
  <si>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</si>
  <si>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</si>
  <si>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</si>
  <si>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</si>
  <si>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</si>
  <si>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</si>
  <si>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</si>
  <si>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</si>
  <si>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</si>
  <si>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</si>
  <si>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</si>
  <si>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</si>
  <si>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</si>
  <si>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</si>
  <si>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</si>
  <si>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</si>
  <si>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</si>
  <si>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</si>
  <si>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</si>
  <si>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</si>
  <si>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</si>
  <si>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</si>
  <si>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</si>
  <si>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</si>
  <si>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</si>
  <si>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</si>
  <si>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</si>
  <si>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</si>
  <si>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</si>
  <si>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</si>
  <si>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</si>
  <si>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</si>
  <si>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</si>
  <si>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</si>
  <si>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</si>
  <si>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</si>
  <si>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</si>
  <si>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</si>
  <si>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</si>
  <si>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</si>
  <si>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</si>
  <si>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</si>
  <si>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</si>
  <si>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</si>
  <si>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</si>
  <si>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</si>
  <si>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</si>
  <si>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</si>
  <si>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</si>
  <si>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</si>
  <si>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</si>
  <si>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</si>
  <si>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</si>
  <si>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</si>
  <si>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</si>
  <si>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</si>
  <si>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</si>
  <si>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</si>
  <si>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</si>
  <si>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</si>
  <si>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</si>
  <si>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</si>
  <si>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</si>
  <si>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</si>
  <si>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</si>
  <si>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</si>
  <si>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</si>
  <si>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</si>
  <si>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</si>
  <si>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</si>
  <si>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</si>
  <si>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</si>
  <si>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</si>
  <si>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</si>
  <si>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</si>
  <si>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</si>
  <si>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</si>
  <si>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</si>
  <si>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</si>
  <si>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</si>
  <si>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</si>
  <si>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</si>
  <si>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</si>
  <si>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</si>
  <si>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</si>
  <si>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</si>
  <si>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</si>
  <si>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</si>
  <si>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</si>
  <si>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</si>
  <si>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</si>
  <si>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</si>
  <si>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</si>
  <si>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</si>
  <si>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</si>
  <si>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</si>
  <si>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</si>
  <si>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</si>
  <si>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</si>
  <si>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</si>
  <si>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</si>
  <si>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</si>
  <si>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</si>
  <si>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</si>
  <si>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</si>
  <si>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</si>
  <si>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</si>
  <si>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</si>
  <si>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</si>
  <si>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</si>
  <si>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</si>
  <si>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</si>
  <si>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</si>
  <si>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</si>
  <si>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</si>
  <si>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</si>
  <si>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</si>
  <si>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</si>
  <si>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</si>
  <si>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</si>
  <si>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</si>
  <si>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</si>
  <si>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</si>
  <si>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</si>
  <si>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</si>
  <si>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</si>
  <si>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</si>
  <si>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</si>
  <si>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</si>
  <si>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</si>
  <si>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</si>
  <si>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</si>
  <si>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</si>
  <si>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</si>
  <si>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</si>
  <si>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</si>
  <si>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</si>
  <si>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</si>
  <si>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</si>
  <si>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</si>
  <si>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</si>
  <si>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</si>
  <si>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</si>
  <si>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</si>
  <si>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</si>
  <si>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</si>
  <si>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</si>
  <si>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</si>
  <si>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</si>
  <si>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</si>
  <si>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</si>
  <si>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</si>
  <si>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</si>
  <si>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</si>
  <si>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</si>
  <si>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</si>
  <si>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</si>
  <si>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</si>
  <si>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</si>
  <si>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</si>
  <si>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</si>
  <si>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</si>
  <si>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</si>
  <si>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</si>
  <si>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</si>
  <si>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</si>
  <si>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</si>
  <si>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</si>
  <si>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</si>
  <si>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</si>
  <si>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</si>
  <si>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</si>
  <si>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</si>
  <si>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</si>
  <si>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</si>
  <si>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</si>
  <si>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</si>
  <si>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</si>
  <si>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</si>
  <si>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</si>
  <si>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</si>
  <si>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</si>
  <si>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</si>
  <si>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</si>
  <si>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</si>
  <si>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</si>
  <si>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</si>
  <si>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</si>
  <si>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</si>
  <si>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</si>
  <si>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</si>
  <si>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</si>
  <si>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</si>
  <si>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</si>
  <si>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</si>
  <si>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</si>
  <si>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</si>
  <si>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</si>
  <si>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</si>
  <si>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</si>
  <si>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</si>
  <si>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</si>
  <si>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</si>
  <si>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</si>
  <si>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</si>
  <si>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</si>
  <si>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</si>
  <si>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</si>
  <si>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</si>
  <si>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</si>
  <si>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</si>
  <si>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</si>
  <si>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</si>
  <si>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</si>
  <si>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</si>
  <si>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</si>
  <si>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</si>
  <si>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</si>
  <si>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</si>
  <si>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</si>
  <si>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</si>
  <si>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</si>
  <si>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</si>
  <si>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</si>
  <si>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</si>
  <si>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</si>
  <si>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</si>
  <si>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</si>
  <si>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</si>
  <si>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</si>
  <si>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</si>
  <si>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</si>
  <si>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</si>
  <si>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</si>
  <si>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</si>
  <si>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</si>
  <si>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</si>
  <si>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</si>
  <si>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</si>
  <si>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</si>
  <si>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</si>
  <si>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</si>
  <si>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</si>
  <si>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</si>
  <si>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</si>
  <si>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</si>
  <si>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</si>
  <si>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</si>
  <si>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</si>
  <si>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</si>
  <si>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</si>
  <si>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</si>
  <si>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</si>
  <si>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</si>
  <si>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</si>
  <si>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</si>
  <si>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</si>
  <si>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</si>
  <si>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</si>
  <si>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</si>
  <si>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</si>
  <si>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</si>
  <si>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</si>
  <si>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</si>
  <si>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</si>
  <si>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</si>
  <si>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</si>
  <si>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</si>
  <si>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</si>
  <si>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</si>
  <si>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</si>
  <si>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</si>
  <si>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</si>
  <si>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</si>
  <si>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</si>
  <si>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</si>
  <si>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</si>
  <si>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</si>
  <si>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</si>
  <si>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</si>
  <si>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</si>
  <si>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</si>
  <si>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</si>
  <si>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</si>
  <si>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</si>
  <si>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</si>
  <si>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</si>
  <si>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</si>
  <si>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</si>
  <si>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</si>
  <si>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</si>
  <si>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</si>
  <si>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</si>
  <si>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</si>
  <si>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</si>
  <si>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</si>
  <si>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</si>
  <si>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</si>
  <si>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</si>
  <si>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</si>
  <si>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</si>
  <si>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</si>
  <si>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</si>
  <si>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</si>
  <si>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</si>
  <si>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</si>
  <si>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</si>
  <si>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</si>
  <si>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</si>
  <si>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</si>
  <si>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</si>
  <si>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</si>
  <si>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</si>
  <si>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</si>
  <si>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</si>
  <si>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</si>
  <si>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</si>
  <si>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</si>
  <si>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</si>
  <si>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</si>
  <si>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</si>
  <si>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</si>
  <si>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</si>
  <si>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</si>
  <si>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</si>
  <si>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</si>
  <si>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</si>
  <si>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</si>
  <si>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</si>
  <si>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</si>
  <si>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</si>
  <si>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</si>
  <si>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</si>
  <si>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</si>
  <si>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</si>
  <si>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</si>
  <si>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</si>
  <si>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</si>
  <si>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</si>
  <si>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</si>
  <si>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</si>
  <si>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</si>
  <si>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</si>
  <si>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</si>
  <si>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</si>
  <si>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</si>
  <si>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</si>
  <si>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</si>
  <si>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</si>
  <si>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</si>
  <si>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</si>
  <si>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</si>
  <si>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</si>
  <si>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</si>
  <si>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</si>
  <si>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</si>
  <si>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</si>
  <si>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</si>
  <si>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</si>
  <si>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</si>
  <si>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</si>
  <si>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</si>
  <si>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</si>
  <si>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</si>
  <si>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</si>
  <si>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</si>
  <si>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</si>
  <si>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</si>
  <si>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</si>
  <si>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</si>
  <si>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</si>
  <si>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</si>
  <si>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</si>
  <si>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</si>
  <si>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</si>
  <si>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</si>
  <si>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</si>
  <si>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</si>
  <si>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</si>
  <si>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</si>
  <si>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</si>
  <si>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</si>
  <si>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</si>
  <si>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</si>
  <si>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</si>
  <si>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</si>
  <si>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</si>
  <si>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</si>
  <si>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</si>
  <si>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</si>
  <si>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</si>
  <si>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</si>
  <si>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</si>
  <si>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</si>
  <si>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</si>
  <si>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</si>
  <si>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</si>
  <si>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</si>
  <si>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</si>
  <si>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</si>
  <si>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</si>
  <si>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</si>
  <si>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</si>
  <si>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</si>
  <si>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</si>
  <si>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</si>
  <si>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</si>
  <si>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</si>
  <si>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</si>
  <si>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</si>
  <si>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</si>
  <si>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</si>
  <si>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</si>
  <si>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</si>
  <si>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</si>
  <si>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</si>
  <si>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</si>
  <si>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</si>
  <si>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</si>
  <si>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</si>
  <si>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</si>
  <si>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</si>
  <si>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</si>
  <si>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</si>
  <si>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</si>
  <si>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</si>
  <si>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</si>
  <si>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</si>
  <si>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</si>
  <si>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</si>
  <si>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</si>
  <si>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</si>
  <si>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</si>
  <si>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</si>
  <si>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</si>
  <si>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</si>
  <si>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</si>
  <si>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</si>
  <si>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</si>
  <si>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</si>
  <si>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</si>
  <si>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</si>
  <si>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</si>
  <si>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</si>
  <si>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</si>
  <si>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</si>
  <si>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</si>
  <si>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</si>
  <si>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</si>
  <si>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</si>
  <si>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</si>
  <si>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</si>
  <si>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</si>
  <si>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</si>
  <si>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</si>
  <si>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</si>
  <si>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</si>
  <si>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</si>
  <si>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</si>
  <si>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</si>
  <si>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</si>
  <si>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</si>
  <si>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</si>
  <si>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</si>
  <si>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</si>
  <si>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</si>
  <si>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</si>
  <si>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</si>
  <si>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</si>
  <si>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</si>
  <si>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</si>
  <si>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</si>
  <si>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</si>
  <si>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</si>
  <si>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</si>
  <si>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</si>
  <si>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</si>
  <si>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</si>
  <si>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</si>
  <si>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</si>
  <si>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</si>
  <si>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</si>
  <si>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</si>
  <si>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</si>
  <si>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</si>
  <si>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</si>
  <si>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</si>
  <si>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</si>
  <si>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</si>
  <si>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</si>
  <si>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</si>
  <si>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</si>
  <si>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</si>
  <si>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</si>
  <si>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</si>
  <si>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</si>
  <si>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</si>
  <si>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</si>
  <si>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</si>
  <si>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</si>
  <si>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</si>
  <si>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</si>
  <si>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</si>
  <si>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</si>
  <si>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</si>
  <si>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</si>
  <si>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</si>
  <si>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</si>
  <si>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</si>
  <si>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</si>
  <si>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</si>
  <si>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</si>
  <si>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</si>
  <si>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</si>
  <si>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</si>
  <si>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</si>
  <si>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</si>
  <si>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</si>
  <si>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</si>
  <si>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</si>
  <si>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</si>
  <si>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</si>
  <si>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</si>
  <si>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</si>
  <si>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</si>
  <si>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</si>
  <si>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</si>
  <si>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</si>
  <si>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</si>
  <si>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</si>
  <si>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</si>
  <si>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</si>
  <si>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</si>
  <si>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</si>
  <si>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</si>
  <si>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</si>
  <si>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</si>
  <si>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</si>
  <si>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</si>
  <si>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</si>
  <si>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</si>
  <si>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</si>
  <si>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</si>
  <si>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</si>
  <si>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</si>
  <si>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</si>
  <si>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</si>
  <si>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</si>
  <si>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</si>
  <si>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</si>
  <si>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</si>
  <si>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</si>
  <si>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</si>
  <si>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</si>
  <si>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</si>
  <si>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</si>
  <si>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</si>
  <si>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</si>
  <si>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</si>
  <si>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</si>
  <si>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</si>
  <si>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</si>
  <si>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</si>
  <si>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</si>
  <si>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</si>
  <si>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</si>
  <si>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</si>
  <si>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</si>
  <si>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</si>
  <si>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</si>
  <si>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</si>
  <si>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</si>
  <si>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</si>
  <si>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</si>
  <si>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</si>
  <si>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</si>
  <si>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</si>
  <si>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</si>
  <si>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</si>
  <si>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</si>
  <si>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</si>
  <si>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</si>
  <si>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</si>
  <si>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</si>
  <si>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</si>
  <si>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</si>
  <si>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</si>
  <si>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</si>
  <si>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</si>
  <si>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</si>
  <si>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</si>
  <si>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</si>
  <si>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</si>
  <si>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</si>
  <si>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</si>
  <si>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</si>
  <si>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</si>
  <si>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</si>
  <si>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</si>
  <si>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</si>
  <si>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</si>
  <si>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</si>
  <si>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</si>
  <si>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</si>
  <si>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</si>
  <si>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</si>
  <si>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</si>
  <si>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</si>
  <si>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</si>
  <si>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</si>
  <si>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</si>
  <si>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</si>
  <si>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</si>
  <si>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</si>
  <si>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</si>
  <si>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</si>
  <si>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</si>
  <si>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</si>
  <si>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</si>
  <si>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</si>
  <si>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</si>
  <si>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</si>
  <si>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</si>
  <si>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</si>
  <si>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</si>
  <si>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</si>
  <si>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</si>
  <si>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</si>
  <si>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</si>
  <si>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</si>
  <si>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</si>
  <si>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</si>
  <si>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</si>
  <si>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</si>
  <si>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</si>
  <si>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</si>
  <si>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</si>
  <si>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</si>
  <si>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</si>
  <si>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</si>
  <si>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</si>
  <si>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</si>
  <si>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</si>
  <si>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</si>
  <si>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</si>
  <si>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</si>
  <si>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</si>
  <si>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</si>
  <si>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</si>
  <si>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</si>
  <si>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</si>
  <si>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</si>
  <si>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</si>
  <si>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</si>
  <si>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</si>
  <si>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</si>
  <si>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</si>
  <si>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</si>
  <si>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</si>
  <si>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</si>
  <si>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</si>
  <si>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</si>
  <si>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</si>
  <si>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</si>
  <si>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</si>
  <si>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</si>
  <si>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</si>
  <si>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</si>
  <si>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</si>
  <si>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</si>
  <si>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</si>
  <si>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</si>
  <si>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</si>
  <si>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</si>
  <si>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</si>
  <si>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</si>
  <si>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</si>
  <si>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</si>
  <si>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</si>
  <si>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</si>
  <si>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</si>
  <si>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</si>
  <si>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</si>
  <si>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</si>
  <si>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</si>
  <si>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</si>
  <si>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</si>
  <si>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</si>
  <si>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</si>
  <si>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</si>
  <si>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</si>
  <si>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</si>
  <si>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</si>
  <si>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</si>
  <si>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</si>
  <si>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</si>
  <si>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</si>
  <si>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</si>
  <si>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</si>
  <si>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</si>
  <si>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</si>
  <si>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</si>
  <si>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</si>
  <si>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</si>
  <si>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</si>
  <si>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</si>
  <si>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</si>
  <si>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</si>
  <si>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</si>
  <si>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</si>
  <si>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</si>
  <si>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</si>
  <si>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</si>
  <si>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</si>
  <si>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</si>
  <si>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</si>
  <si>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</si>
  <si>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</si>
  <si>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</si>
  <si>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</si>
  <si>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</si>
  <si>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</si>
  <si>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</si>
  <si>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</si>
  <si>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</si>
  <si>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</si>
  <si>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</si>
  <si>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</si>
  <si>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</si>
  <si>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</si>
  <si>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</si>
  <si>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</si>
  <si>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</si>
  <si>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</si>
  <si>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</si>
  <si>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</si>
  <si>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</si>
  <si>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</si>
  <si>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</si>
  <si>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</si>
  <si>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</si>
  <si>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</si>
  <si>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</si>
  <si>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</si>
  <si>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</si>
  <si>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</si>
  <si>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</si>
  <si>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</si>
  <si>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</si>
  <si>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</si>
  <si>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</si>
  <si>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</si>
  <si>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</si>
  <si>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</si>
  <si>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</si>
  <si>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</si>
  <si>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</si>
  <si>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</si>
  <si>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</si>
  <si>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</si>
  <si>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</si>
  <si>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</si>
  <si>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</si>
  <si>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</si>
  <si>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</si>
  <si>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</si>
  <si>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</si>
  <si>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</si>
  <si>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</si>
  <si>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</si>
  <si>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</si>
  <si>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</si>
  <si>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</si>
  <si>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</si>
  <si>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</si>
  <si>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</si>
  <si>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</si>
  <si>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</si>
  <si>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</si>
  <si>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</si>
  <si>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</si>
  <si>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</si>
  <si>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</si>
  <si>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</si>
  <si>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</si>
  <si>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</si>
  <si>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</si>
  <si>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</si>
  <si>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</si>
  <si>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</si>
  <si>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</si>
  <si>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</si>
  <si>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</si>
  <si>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</si>
  <si>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</si>
  <si>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</si>
  <si>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</si>
  <si>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</si>
  <si>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</si>
  <si>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</si>
  <si>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</si>
  <si>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</si>
  <si>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</si>
  <si>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</si>
  <si>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</si>
  <si>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</si>
  <si>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</si>
  <si>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</si>
  <si>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</si>
  <si>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</si>
  <si>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</si>
  <si>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</si>
  <si>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</si>
  <si>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</si>
  <si>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</si>
  <si>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</si>
  <si>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</si>
  <si>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</si>
  <si>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</si>
  <si>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</si>
  <si>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</si>
  <si>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</si>
  <si>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</si>
  <si>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</si>
  <si>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</si>
  <si>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</si>
  <si>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</si>
  <si>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</si>
  <si>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</si>
  <si>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</si>
  <si>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</si>
  <si>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</si>
  <si>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</si>
  <si>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</si>
  <si>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</si>
  <si>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</si>
  <si>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</si>
  <si>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</si>
  <si>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</si>
  <si>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</si>
  <si>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</si>
  <si>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</si>
  <si>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</si>
  <si>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</si>
  <si>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</si>
  <si>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</si>
  <si>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</si>
  <si>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</si>
  <si>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</si>
  <si>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</si>
  <si>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</si>
  <si>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</si>
  <si>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</si>
  <si>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</si>
  <si>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</si>
  <si>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</si>
  <si>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</si>
  <si>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</si>
  <si>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</si>
  <si>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</si>
  <si>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</si>
  <si>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</si>
  <si>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</si>
  <si>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</si>
  <si>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</si>
  <si>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</si>
  <si>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</si>
  <si>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</si>
  <si>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</si>
  <si>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</si>
  <si>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</si>
  <si>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</si>
  <si>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</si>
  <si>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</si>
  <si>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</si>
  <si>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</si>
  <si>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</si>
  <si>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</si>
  <si>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</si>
  <si>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</si>
  <si>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</si>
  <si>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</si>
  <si>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</si>
  <si>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</si>
  <si>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</si>
  <si>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</si>
  <si>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</si>
  <si>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</si>
  <si>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</si>
  <si>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</si>
  <si>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</si>
  <si>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</si>
  <si>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</si>
  <si>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</si>
  <si>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</si>
  <si>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</si>
  <si>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</si>
  <si>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</si>
  <si>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</si>
  <si>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</si>
  <si>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</si>
  <si>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</si>
  <si>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</si>
  <si>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</si>
  <si>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</si>
  <si>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</si>
  <si>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</si>
  <si>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</si>
  <si>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</si>
  <si>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</si>
  <si>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</si>
  <si>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</si>
  <si>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</si>
  <si>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</si>
  <si>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</si>
  <si>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</si>
  <si>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</si>
  <si>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</si>
  <si>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</si>
  <si>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</si>
  <si>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</si>
  <si>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</si>
  <si>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</si>
  <si>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</si>
  <si>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</si>
  <si>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</si>
  <si>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</si>
  <si>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</si>
  <si>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</si>
  <si>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</si>
  <si>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</si>
  <si>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</si>
  <si>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</si>
  <si>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</si>
  <si>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</si>
  <si>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</si>
  <si>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</si>
  <si>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</si>
  <si>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</si>
  <si>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</si>
  <si>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</si>
  <si>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</si>
  <si>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</si>
  <si>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</si>
  <si>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</si>
  <si>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</si>
  <si>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</si>
  <si>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</si>
  <si>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</si>
  <si>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</si>
  <si>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</si>
  <si>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</si>
  <si>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</si>
  <si>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</si>
  <si>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</si>
  <si>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</si>
  <si>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</si>
  <si>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</si>
  <si>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</si>
  <si>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</si>
  <si>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</si>
  <si>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</si>
  <si>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</si>
  <si>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</si>
  <si>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</si>
  <si>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</si>
  <si>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</si>
  <si>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</si>
  <si>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</si>
  <si>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</si>
  <si>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</si>
  <si>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</si>
  <si>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</si>
  <si>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</si>
  <si>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</si>
  <si>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</si>
  <si>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</si>
  <si>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</si>
  <si>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</si>
  <si>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</si>
  <si>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</si>
  <si>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</si>
  <si>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</si>
  <si>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</si>
  <si>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</si>
  <si>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</si>
  <si>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</si>
  <si>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</si>
  <si>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</si>
  <si>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</si>
  <si>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</si>
  <si>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</si>
  <si>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</si>
  <si>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</si>
  <si>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</si>
  <si>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</si>
  <si>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</si>
  <si>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</si>
  <si>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</si>
  <si>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</si>
  <si>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</si>
  <si>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</si>
  <si>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</si>
  <si>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</si>
  <si>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</si>
  <si>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</si>
  <si>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</si>
  <si>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</si>
  <si>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</si>
  <si>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</si>
  <si>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</si>
  <si>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</si>
  <si>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</si>
  <si>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</si>
  <si>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</si>
  <si>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</si>
  <si>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</si>
  <si>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</si>
  <si>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</si>
  <si>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</si>
  <si>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</si>
  <si>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</si>
  <si>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</si>
  <si>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</si>
  <si>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</si>
  <si>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</si>
  <si>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</si>
  <si>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</si>
  <si>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</si>
  <si>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</si>
  <si>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</si>
  <si>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</si>
  <si>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</si>
  <si>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</si>
  <si>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</si>
  <si>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</si>
  <si>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</si>
  <si>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</si>
  <si>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</si>
  <si>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</si>
  <si>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</si>
  <si>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</si>
  <si>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</si>
  <si>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</si>
  <si>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</si>
  <si>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</si>
  <si>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</si>
  <si>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</si>
  <si>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</si>
  <si>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</si>
  <si>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</si>
  <si>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</si>
  <si>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</si>
  <si>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</si>
  <si>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</si>
  <si>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</si>
  <si>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</si>
  <si>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</si>
  <si>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</si>
  <si>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</si>
  <si>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</si>
  <si>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</si>
  <si>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</si>
  <si>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</si>
  <si>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</si>
  <si>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</si>
  <si>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</si>
  <si>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</si>
  <si>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</si>
  <si>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</si>
  <si>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</si>
  <si>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</si>
  <si>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</si>
  <si>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</si>
  <si>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</si>
  <si>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</si>
  <si>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</si>
  <si>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</si>
  <si>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</si>
  <si>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</si>
  <si>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</si>
  <si>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</si>
  <si>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</si>
  <si>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</si>
  <si>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</si>
  <si>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</si>
  <si>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</si>
  <si>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</si>
  <si>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</si>
  <si>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</si>
  <si>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</si>
  <si>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</si>
  <si>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</si>
  <si>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</si>
  <si>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</si>
  <si>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</si>
  <si>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</si>
  <si>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</si>
  <si>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</si>
  <si>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</si>
  <si>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</si>
  <si>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</si>
  <si>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</si>
  <si>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</si>
  <si>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</si>
  <si>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</si>
  <si>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</si>
  <si>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</si>
  <si>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</si>
  <si>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</si>
  <si>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</si>
  <si>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</si>
  <si>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</si>
  <si>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</si>
  <si>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</si>
  <si>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</si>
  <si>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</si>
  <si>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</si>
  <si>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</si>
  <si>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</si>
  <si>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</si>
  <si>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</si>
  <si>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</si>
  <si>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</si>
  <si>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</si>
  <si>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</si>
  <si>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</si>
  <si>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</si>
  <si>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</si>
  <si>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</si>
  <si>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</si>
  <si>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</si>
  <si>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</si>
  <si>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</si>
  <si>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</si>
  <si>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</si>
  <si>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</si>
  <si>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</si>
  <si>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</si>
  <si>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</si>
  <si>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</si>
  <si>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</si>
  <si>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</si>
  <si>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</si>
  <si>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</si>
  <si>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</si>
  <si>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</si>
  <si>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</si>
  <si>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</si>
  <si>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</si>
  <si>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</si>
  <si>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</si>
  <si>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</si>
  <si>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</si>
  <si>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</si>
  <si>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</si>
  <si>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</si>
  <si>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</si>
  <si>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</si>
  <si>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</si>
  <si>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</si>
  <si>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</si>
  <si>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</si>
  <si>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</si>
  <si>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</si>
  <si>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</si>
  <si>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</si>
  <si>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</si>
  <si>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</si>
  <si>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</si>
  <si>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</si>
  <si>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</si>
  <si>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</si>
  <si>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</si>
  <si>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</si>
  <si>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</si>
  <si>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</si>
  <si>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</si>
  <si>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</si>
  <si>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</si>
  <si>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</si>
  <si>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</si>
  <si>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</si>
  <si>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</si>
  <si>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</si>
  <si>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</si>
  <si>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</si>
  <si>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</si>
  <si>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</si>
  <si>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</si>
  <si>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</si>
  <si>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</si>
  <si>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</si>
  <si>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</si>
  <si>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</si>
  <si>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</si>
  <si>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</si>
  <si>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</si>
  <si>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</si>
  <si>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</si>
  <si>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</si>
  <si>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</si>
  <si>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</si>
  <si>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</si>
  <si>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</si>
  <si>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</si>
  <si>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</si>
  <si>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</si>
  <si>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</si>
  <si>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</si>
  <si>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</si>
  <si>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</si>
  <si>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</si>
  <si>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</si>
  <si>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</si>
  <si>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</si>
  <si>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</si>
  <si>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</si>
  <si>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</si>
  <si>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</si>
  <si>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</si>
  <si>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</si>
  <si>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</si>
  <si>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</si>
  <si>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</si>
  <si>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</si>
  <si>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</si>
  <si>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</si>
  <si>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</si>
  <si>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</si>
  <si>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</si>
  <si>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</si>
  <si>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</si>
  <si>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</si>
  <si>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</si>
  <si>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</si>
  <si>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</si>
  <si>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</si>
  <si>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</si>
  <si>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</si>
  <si>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</si>
  <si>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</si>
  <si>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</si>
  <si>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</si>
  <si>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</si>
  <si>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</si>
  <si>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</si>
  <si>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</si>
  <si>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</si>
  <si>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</si>
  <si>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</si>
  <si>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</si>
  <si>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</si>
  <si>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</si>
  <si>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</si>
  <si>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</si>
  <si>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</si>
  <si>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</si>
  <si>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</si>
  <si>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</si>
  <si>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</si>
  <si>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</si>
  <si>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</si>
  <si>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</si>
  <si>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</si>
  <si>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</si>
  <si>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</si>
  <si>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</si>
  <si>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</si>
  <si>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</si>
  <si>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</si>
  <si>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</si>
  <si>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</si>
  <si>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</si>
  <si>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</si>
  <si>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</si>
  <si>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</si>
  <si>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</si>
  <si>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</si>
  <si>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</si>
  <si>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</si>
  <si>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</si>
  <si>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</si>
  <si>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</si>
  <si>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</si>
  <si>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</si>
  <si>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</si>
  <si>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</si>
  <si>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</si>
  <si>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</si>
  <si>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</si>
  <si>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</si>
  <si>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</si>
  <si>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</si>
  <si>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</si>
  <si>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</si>
  <si>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</si>
  <si>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</si>
  <si>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</si>
  <si>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</si>
  <si>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</si>
  <si>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</si>
  <si>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</si>
  <si>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</si>
  <si>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</si>
  <si>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</si>
  <si>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</si>
  <si>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</si>
  <si>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</si>
  <si>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</si>
  <si>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</si>
  <si>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</si>
  <si>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</si>
  <si>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</si>
  <si>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</si>
  <si>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</si>
  <si>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</si>
  <si>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</si>
  <si>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</si>
  <si>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</si>
  <si>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</si>
  <si>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</si>
  <si>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</si>
  <si>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</si>
  <si>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</si>
  <si>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</si>
  <si>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</si>
  <si>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</si>
  <si>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</si>
  <si>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</si>
  <si>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</si>
  <si>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</si>
  <si>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</si>
  <si>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</si>
  <si>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</si>
  <si>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</si>
  <si>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</si>
  <si>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</si>
  <si>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</si>
  <si>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</si>
  <si>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</si>
  <si>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</si>
  <si>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</si>
  <si>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</si>
  <si>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</si>
  <si>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</si>
  <si>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</si>
  <si>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</si>
  <si>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</si>
  <si>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</si>
  <si>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</si>
  <si>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</si>
  <si>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</si>
  <si>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</si>
  <si>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</si>
  <si>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</si>
  <si>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</si>
  <si>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</si>
  <si>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</si>
  <si>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</si>
  <si>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</si>
  <si>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</si>
  <si>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</si>
  <si>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</si>
  <si>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</si>
  <si>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</si>
  <si>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</si>
  <si>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</si>
  <si>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</si>
  <si>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</si>
  <si>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</si>
  <si>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</si>
  <si>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</si>
  <si>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</si>
  <si>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</si>
  <si>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</si>
  <si>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</si>
  <si>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</si>
  <si>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</si>
  <si>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</si>
  <si>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</si>
  <si>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</si>
  <si>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</si>
  <si>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</si>
  <si>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</si>
  <si>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</si>
  <si>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</si>
  <si>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</si>
  <si>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</si>
  <si>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</si>
  <si>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</si>
  <si>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</si>
  <si>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</si>
  <si>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</si>
  <si>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</si>
  <si>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</si>
  <si>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</si>
  <si>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</si>
  <si>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</si>
  <si>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</si>
  <si>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</si>
  <si>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</si>
  <si>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</si>
  <si>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</si>
  <si>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</si>
  <si>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</si>
  <si>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</si>
  <si>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</si>
  <si>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</si>
  <si>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</si>
  <si>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</si>
  <si>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</si>
  <si>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</si>
  <si>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</si>
  <si>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</si>
  <si>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</si>
  <si>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</si>
  <si>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</si>
  <si>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</si>
  <si>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</si>
  <si>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</si>
  <si>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</si>
  <si>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</si>
  <si>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</si>
  <si>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</si>
  <si>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</si>
  <si>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</si>
  <si>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</si>
  <si>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</si>
  <si>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</si>
  <si>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</si>
  <si>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</si>
  <si>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</si>
  <si>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</si>
  <si>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</si>
  <si>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</si>
  <si>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</si>
  <si>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</si>
  <si>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</si>
  <si>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</si>
  <si>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</si>
  <si>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</si>
  <si>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</si>
  <si>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</si>
  <si>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</si>
  <si>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</si>
  <si>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</si>
  <si>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</si>
  <si>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</si>
  <si>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</si>
  <si>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</si>
  <si>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</si>
  <si>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</si>
  <si>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</si>
  <si>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</si>
  <si>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</si>
  <si>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</si>
  <si>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</si>
  <si>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</si>
  <si>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</si>
  <si>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</si>
  <si>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</si>
  <si>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</si>
  <si>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</si>
  <si>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</si>
  <si>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</si>
  <si>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</si>
  <si>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</si>
  <si>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</si>
  <si>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</si>
  <si>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</si>
  <si>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</si>
  <si>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</si>
  <si>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</si>
  <si>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</si>
  <si>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</si>
  <si>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</si>
  <si>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</si>
  <si>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</si>
  <si>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</si>
  <si>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</si>
  <si>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</si>
  <si>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</si>
  <si>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</si>
  <si>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</si>
  <si>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</si>
  <si>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</si>
  <si>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</si>
  <si>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</si>
  <si>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</si>
  <si>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</si>
  <si>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</si>
  <si>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</si>
  <si>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</si>
  <si>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</si>
  <si>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</si>
  <si>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</si>
  <si>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</si>
  <si>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</si>
  <si>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</si>
  <si>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</si>
  <si>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</si>
  <si>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</si>
  <si>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</si>
  <si>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</si>
  <si>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</si>
  <si>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</si>
  <si>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</si>
  <si>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</si>
  <si>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</si>
  <si>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</si>
  <si>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</si>
  <si>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</si>
  <si>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</si>
  <si>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</si>
  <si>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</si>
  <si>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</si>
  <si>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</si>
  <si>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</si>
  <si>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</si>
  <si>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</si>
  <si>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</si>
  <si>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</si>
  <si>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</si>
  <si>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</si>
  <si>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</si>
  <si>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</si>
  <si>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</si>
  <si>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</si>
  <si>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</si>
  <si>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</si>
  <si>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</si>
  <si>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</si>
  <si>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</si>
  <si>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</si>
  <si>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</si>
  <si>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</si>
  <si>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</si>
  <si>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</si>
  <si>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</si>
  <si>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</si>
  <si>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</si>
  <si>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</si>
  <si>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</si>
  <si>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</si>
  <si>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</si>
  <si>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</si>
  <si>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</si>
  <si>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</si>
  <si>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</si>
  <si>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</si>
  <si>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</si>
  <si>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</si>
  <si>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</si>
  <si>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</si>
  <si>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</si>
  <si>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</si>
  <si>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</si>
  <si>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</si>
  <si>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</si>
  <si>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</si>
  <si>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</si>
  <si>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</si>
  <si>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</si>
  <si>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</si>
  <si>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</si>
  <si>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</si>
  <si>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</si>
  <si>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</si>
  <si>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</si>
  <si>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</si>
  <si>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</si>
  <si>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</si>
  <si>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</si>
  <si>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</si>
  <si>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</si>
  <si>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</si>
  <si>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</si>
  <si>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</si>
  <si>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</si>
  <si>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</si>
  <si>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</si>
  <si>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</si>
  <si>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</si>
  <si>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</si>
  <si>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</si>
  <si>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</si>
  <si>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</si>
  <si>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</si>
  <si>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</si>
  <si>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</si>
  <si>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</si>
  <si>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</si>
  <si>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</si>
  <si>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</si>
  <si>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</si>
  <si>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</si>
  <si>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</si>
  <si>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</si>
  <si>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</si>
  <si>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</si>
  <si>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</si>
  <si>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</si>
  <si>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</si>
  <si>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</si>
  <si>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</si>
  <si>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</si>
  <si>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</si>
  <si>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</si>
  <si>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</si>
  <si>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</si>
  <si>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</si>
  <si>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</si>
  <si>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</si>
  <si>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</si>
  <si>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</si>
  <si>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</si>
  <si>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</si>
  <si>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</si>
  <si>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</si>
  <si>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</si>
  <si>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</si>
  <si>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</si>
  <si>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</si>
  <si>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</si>
  <si>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</si>
  <si>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</si>
  <si>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</si>
  <si>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</si>
  <si>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</si>
  <si>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</si>
  <si>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</si>
  <si>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</si>
  <si>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</si>
  <si>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</si>
  <si>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</si>
  <si>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</si>
  <si>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</si>
  <si>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</si>
  <si>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</si>
  <si>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</si>
  <si>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</si>
  <si>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</si>
  <si>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</si>
  <si>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</si>
  <si>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</si>
  <si>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</si>
  <si>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</si>
  <si>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</si>
  <si>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</si>
  <si>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</si>
  <si>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</si>
  <si>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</si>
  <si>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</si>
  <si>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</si>
  <si>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</si>
  <si>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</si>
  <si>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</si>
  <si>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</si>
  <si>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</si>
  <si>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</si>
  <si>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</si>
  <si>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</si>
  <si>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</si>
  <si>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</si>
  <si>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</si>
  <si>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</si>
  <si>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</si>
  <si>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</si>
  <si>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</si>
  <si>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</si>
  <si>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</si>
  <si>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</si>
  <si>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</si>
  <si>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</si>
  <si>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</si>
  <si>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</si>
  <si>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</si>
  <si>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</si>
  <si>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</si>
  <si>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</si>
  <si>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</si>
  <si>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</si>
  <si>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</si>
  <si>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</si>
  <si>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</si>
  <si>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</si>
  <si>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</si>
  <si>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</si>
  <si>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</si>
  <si>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</si>
  <si>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</si>
  <si>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</si>
  <si>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</si>
  <si>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</si>
  <si>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</si>
  <si>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</si>
  <si>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</si>
  <si>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</si>
  <si>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</si>
  <si>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</si>
  <si>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</si>
  <si>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</si>
  <si>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</si>
  <si>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</si>
  <si>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</si>
  <si>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</si>
  <si>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</si>
  <si>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</si>
  <si>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</si>
  <si>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</si>
  <si>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</si>
  <si>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</si>
  <si>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</si>
  <si>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</si>
  <si>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</si>
  <si>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</si>
  <si>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</si>
  <si>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</si>
  <si>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</si>
  <si>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</si>
  <si>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</si>
  <si>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</si>
  <si>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</si>
  <si>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</si>
  <si>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</si>
  <si>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</si>
  <si>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</si>
  <si>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</si>
  <si>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</si>
  <si>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</si>
  <si>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</si>
  <si>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</si>
  <si>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</si>
  <si>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</si>
  <si>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</si>
  <si>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</si>
  <si>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</si>
  <si>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</si>
  <si>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</si>
  <si>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</si>
  <si>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</si>
  <si>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</si>
  <si>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</si>
  <si>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</si>
  <si>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</si>
  <si>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</si>
  <si>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</si>
  <si>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</si>
  <si>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</si>
  <si>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</si>
  <si>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</si>
  <si>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</si>
  <si>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</si>
  <si>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</si>
  <si>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</si>
  <si>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</si>
  <si>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</si>
  <si>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</si>
  <si>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</si>
  <si>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</si>
  <si>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</si>
  <si>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</si>
  <si>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</si>
  <si>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</si>
  <si>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</si>
  <si>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</si>
  <si>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</si>
  <si>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</si>
  <si>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</si>
  <si>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</si>
  <si>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</si>
  <si>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</si>
  <si>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</si>
  <si>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</si>
  <si>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</si>
  <si>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</si>
  <si>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</si>
  <si>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</si>
  <si>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</si>
  <si>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</si>
  <si>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</si>
  <si>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</si>
  <si>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</si>
  <si>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</si>
  <si>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</si>
  <si>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</si>
  <si>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</si>
  <si>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</si>
  <si>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</si>
  <si>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</si>
  <si>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</si>
  <si>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</si>
  <si>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</si>
  <si>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</si>
  <si>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</si>
  <si>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</si>
  <si>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</si>
  <si>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</si>
  <si>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</si>
  <si>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</si>
  <si>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</si>
  <si>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</si>
  <si>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</si>
  <si>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</si>
  <si>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</si>
  <si>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</si>
  <si>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</si>
  <si>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</si>
  <si>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</si>
  <si>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</si>
  <si>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</si>
  <si>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</si>
  <si>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</si>
  <si>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</si>
  <si>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</si>
  <si>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</si>
  <si>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</si>
  <si>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</si>
  <si>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</si>
  <si>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</si>
  <si>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</si>
  <si>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</si>
  <si>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</si>
  <si>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</si>
  <si>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</si>
  <si>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</si>
  <si>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</si>
  <si>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</si>
  <si>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</si>
  <si>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</si>
  <si>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</si>
  <si>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</si>
  <si>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</si>
  <si>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</si>
  <si>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</si>
  <si>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</si>
  <si>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</si>
  <si>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</si>
  <si>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</si>
  <si>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</si>
  <si>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</si>
  <si>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</si>
  <si>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</si>
  <si>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</si>
  <si>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</si>
  <si>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</si>
  <si>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</si>
  <si>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</si>
  <si>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</si>
  <si>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</si>
  <si>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</si>
  <si>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</si>
  <si>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</si>
  <si>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</si>
  <si>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</si>
  <si>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</si>
  <si>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</si>
  <si>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</si>
  <si>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</si>
  <si>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</si>
  <si>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</si>
  <si>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</si>
  <si>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</si>
  <si>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</si>
  <si>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</si>
  <si>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</si>
  <si>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</si>
  <si>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</si>
  <si>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</si>
  <si>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</si>
  <si>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</si>
  <si>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</si>
  <si>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</si>
  <si>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</si>
  <si>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</si>
  <si>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</si>
  <si>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</si>
  <si>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</si>
  <si>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</si>
  <si>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</si>
  <si>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</si>
  <si>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</si>
  <si>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</si>
  <si>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</si>
  <si>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</si>
  <si>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</si>
  <si>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</si>
  <si>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</si>
  <si>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</si>
  <si>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</si>
  <si>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</si>
  <si>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</si>
  <si>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</si>
  <si>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</si>
  <si>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</si>
  <si>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</si>
  <si>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</si>
  <si>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</si>
  <si>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</si>
  <si>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</si>
  <si>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</si>
  <si>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</si>
  <si>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</si>
  <si>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</si>
  <si>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</si>
  <si>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</si>
  <si>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</si>
  <si>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</si>
  <si>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</si>
  <si>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</si>
  <si>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</si>
  <si>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</si>
  <si>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</si>
  <si>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</si>
  <si>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</si>
  <si>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</si>
  <si>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</si>
  <si>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</si>
  <si>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</si>
  <si>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</si>
  <si>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</si>
  <si>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</si>
  <si>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</si>
  <si>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</si>
  <si>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</si>
  <si>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</si>
  <si>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</si>
  <si>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</si>
  <si>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</si>
  <si>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</si>
  <si>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</si>
  <si>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</si>
  <si>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</si>
  <si>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</si>
  <si>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</si>
  <si>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</si>
  <si>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</si>
  <si>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</si>
  <si>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</si>
  <si>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</si>
  <si>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</si>
  <si>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</si>
  <si>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</si>
  <si>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</si>
  <si>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</si>
  <si>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</si>
  <si>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</si>
  <si>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</si>
  <si>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</si>
  <si>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</si>
  <si>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</si>
  <si>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</si>
  <si>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</si>
  <si>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</si>
  <si>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</si>
  <si>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</si>
  <si>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</si>
  <si>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</si>
  <si>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</si>
  <si>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</si>
  <si>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</si>
  <si>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</si>
  <si>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</si>
  <si>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</si>
  <si>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</si>
  <si>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</si>
  <si>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</si>
  <si>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</si>
  <si>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</si>
  <si>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</si>
  <si>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</si>
  <si>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</si>
  <si>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</si>
  <si>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</si>
  <si>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</si>
  <si>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</si>
  <si>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</si>
  <si>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</si>
  <si>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</si>
  <si>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</si>
  <si>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</si>
  <si>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</si>
  <si>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</si>
  <si>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</si>
  <si>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</si>
  <si>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</si>
  <si>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</si>
  <si>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</si>
  <si>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</si>
  <si>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</si>
  <si>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</si>
  <si>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</si>
  <si>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</si>
  <si>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</si>
  <si>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</si>
  <si>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</si>
  <si>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</si>
  <si>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</si>
  <si>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</si>
  <si>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</si>
  <si>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</si>
  <si>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</si>
  <si>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</si>
  <si>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</si>
  <si>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</si>
  <si>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</si>
  <si>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</si>
  <si>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</si>
  <si>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</si>
  <si>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</si>
  <si>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</si>
  <si>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</si>
  <si>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</si>
  <si>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</si>
  <si>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</si>
  <si>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</si>
  <si>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</si>
  <si>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</si>
  <si>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</si>
  <si>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</si>
  <si>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</si>
  <si>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</si>
  <si>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</si>
  <si>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</si>
  <si>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</si>
  <si>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</si>
  <si>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</si>
  <si>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</si>
  <si>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</si>
  <si>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</si>
  <si>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</si>
  <si>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</si>
  <si>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</si>
  <si>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</si>
  <si>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</si>
  <si>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</si>
  <si>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</si>
  <si>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</si>
  <si>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</si>
  <si>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</si>
  <si>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</si>
  <si>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</si>
  <si>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</si>
  <si>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</si>
  <si>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</si>
  <si>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</si>
  <si>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</si>
  <si>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</si>
  <si>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</si>
  <si>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</si>
  <si>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</si>
  <si>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</si>
  <si>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</si>
  <si>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</si>
  <si>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</si>
  <si>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</si>
  <si>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</si>
  <si>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</si>
  <si>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</si>
  <si>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</si>
  <si>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</si>
  <si>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</si>
  <si>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</si>
  <si>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</si>
  <si>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</si>
  <si>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</si>
  <si>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</si>
  <si>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</si>
  <si>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</si>
  <si>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</si>
  <si>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</si>
  <si>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</si>
  <si>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</si>
  <si>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</si>
  <si>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</si>
  <si>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</si>
  <si>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</si>
  <si>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</si>
  <si>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</si>
  <si>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</si>
  <si>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</si>
  <si>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</si>
  <si>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</si>
  <si>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</si>
  <si>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</si>
  <si>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</si>
  <si>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</si>
  <si>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</si>
  <si>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</si>
  <si>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</si>
  <si>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</si>
  <si>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</si>
  <si>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</si>
  <si>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</si>
  <si>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</si>
  <si>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</si>
  <si>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</si>
  <si>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</si>
  <si>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</si>
  <si>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</si>
  <si>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</si>
  <si>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</si>
  <si>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</si>
  <si>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</si>
  <si>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</si>
  <si>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</si>
  <si>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</si>
  <si>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</si>
  <si>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</si>
  <si>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</si>
  <si>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</si>
  <si>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</si>
  <si>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</si>
  <si>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</si>
  <si>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</si>
  <si>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</si>
  <si>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</si>
  <si>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</si>
  <si>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</si>
  <si>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</si>
  <si>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</si>
  <si>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</si>
  <si>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</si>
  <si>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</si>
  <si>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</si>
  <si>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</si>
  <si>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</si>
  <si>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</si>
  <si>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</si>
  <si>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</si>
  <si>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</si>
  <si>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</si>
  <si>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</si>
  <si>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</si>
  <si>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</si>
  <si>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</si>
  <si>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</si>
  <si>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</si>
  <si>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</si>
  <si>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</si>
  <si>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</si>
  <si>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</si>
  <si>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</si>
  <si>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</si>
  <si>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</si>
  <si>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</si>
  <si>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</si>
  <si>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</si>
  <si>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</si>
  <si>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</si>
  <si>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</si>
  <si>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</si>
  <si>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</si>
  <si>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</si>
  <si>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</si>
  <si>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</si>
  <si>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</si>
  <si>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</si>
  <si>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</si>
  <si>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</si>
  <si>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</si>
  <si>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</si>
  <si>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</si>
  <si>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</si>
  <si>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</si>
  <si>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</si>
  <si>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</si>
  <si>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</si>
  <si>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</si>
  <si>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</si>
  <si>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</si>
  <si>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</si>
  <si>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</si>
  <si>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</si>
  <si>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</si>
  <si>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</si>
  <si>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</si>
  <si>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</si>
  <si>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</si>
  <si>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</si>
  <si>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</si>
  <si>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</si>
  <si>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</si>
  <si>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</si>
  <si>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</si>
  <si>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</si>
  <si>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</si>
  <si>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</si>
  <si>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</si>
  <si>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</si>
  <si>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</si>
  <si>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</si>
  <si>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</si>
  <si>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</si>
  <si>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</si>
  <si>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</si>
  <si>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</si>
  <si>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</si>
  <si>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</si>
  <si>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</si>
  <si>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</si>
  <si>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</si>
  <si>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</si>
  <si>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</si>
  <si>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</si>
  <si>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</si>
  <si>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</si>
  <si>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</si>
  <si>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</si>
  <si>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</si>
  <si>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</si>
  <si>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</si>
  <si>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</si>
  <si>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</si>
  <si>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</si>
  <si>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</si>
  <si>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</si>
  <si>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</si>
  <si>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</si>
  <si>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</si>
  <si>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</si>
  <si>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</si>
  <si>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</si>
  <si>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</si>
  <si>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</si>
  <si>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</si>
  <si>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</si>
  <si>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</si>
  <si>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</si>
  <si>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</si>
  <si>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</si>
  <si>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</si>
  <si>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</si>
  <si>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</si>
  <si>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</si>
  <si>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</si>
  <si>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</si>
  <si>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</si>
  <si>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</si>
  <si>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</si>
  <si>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</si>
  <si>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</si>
  <si>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</si>
  <si>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</si>
  <si>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</si>
  <si>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</si>
  <si>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</si>
  <si>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</si>
  <si>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</si>
  <si>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</si>
  <si>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</si>
  <si>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</si>
  <si>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</si>
  <si>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</si>
  <si>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</si>
  <si>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</si>
  <si>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</si>
  <si>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</si>
  <si>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</si>
  <si>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</si>
  <si>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</si>
  <si>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</si>
  <si>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</si>
  <si>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</si>
  <si>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</si>
  <si>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</si>
  <si>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</si>
  <si>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</si>
  <si>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</si>
  <si>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</si>
  <si>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</si>
  <si>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</si>
  <si>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</si>
  <si>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</si>
  <si>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</si>
  <si>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</si>
  <si>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</si>
  <si>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</si>
  <si>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</si>
  <si>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</si>
  <si>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</si>
  <si>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</si>
  <si>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</si>
  <si>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</si>
  <si>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</si>
  <si>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</si>
  <si>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</si>
  <si>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</si>
  <si>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</si>
  <si>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</si>
  <si>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</si>
  <si>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</si>
  <si>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</si>
  <si>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</si>
  <si>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</si>
  <si>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</si>
  <si>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</si>
  <si>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</si>
  <si>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</si>
  <si>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</si>
  <si>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</si>
  <si>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</si>
  <si>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</si>
  <si>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</si>
  <si>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</si>
  <si>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Property serves mixed-income tenant base (min 15% unrestricted units)?  Percent:</t>
  </si>
  <si>
    <t>May 2016 Revision v6</t>
  </si>
  <si>
    <t>M a y   2 0 1 6   R e v i s i o n   v 6</t>
  </si>
  <si>
    <r>
      <t>Pre-Application Number</t>
    </r>
    <r>
      <rPr>
        <sz val="10"/>
        <rFont val="Arial Narrow"/>
        <family val="2"/>
      </rPr>
      <t xml:space="preserve"> </t>
    </r>
    <r>
      <rPr>
        <sz val="8"/>
        <rFont val="Arial Narrow"/>
        <family val="2"/>
      </rPr>
      <t>(if applicable)  -  use format 2016PA-###</t>
    </r>
  </si>
  <si>
    <r>
      <t xml:space="preserve">Nearest Physical Street Address </t>
    </r>
    <r>
      <rPr>
        <b/>
        <sz val="10"/>
        <rFont val="Arial Narrow"/>
        <family val="2"/>
      </rPr>
      <t>*</t>
    </r>
  </si>
  <si>
    <r>
      <t>9-digit Zip</t>
    </r>
    <r>
      <rPr>
        <b/>
        <sz val="11"/>
        <rFont val="Arial Narrow"/>
        <family val="2"/>
      </rPr>
      <t>**</t>
    </r>
  </si>
  <si>
    <r>
      <rPr>
        <b/>
        <sz val="10"/>
        <rFont val="Arial Narrow"/>
        <family val="2"/>
      </rPr>
      <t xml:space="preserve">  * </t>
    </r>
    <r>
      <rPr>
        <sz val="8"/>
        <rFont val="Arial Narrow"/>
        <family val="2"/>
      </rPr>
      <t>If street number unknown</t>
    </r>
  </si>
  <si>
    <r>
      <t>Legislative Districts</t>
    </r>
    <r>
      <rPr>
        <b/>
        <sz val="10"/>
        <rFont val="Arial Narrow"/>
        <family val="2"/>
      </rPr>
      <t xml:space="preserve"> **</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</si>
  <si>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rFont val="Arial Narrow"/>
        <family val="2"/>
      </rPr>
      <t>Explain in Comments if Applicant's PCL calculation &gt; QAP PCL.</t>
    </r>
  </si>
  <si>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rFont val="Arial Narrow"/>
        <family val="2"/>
      </rPr>
      <t>(TDC, PCL, or TDC less Foundation Funding; explain in Comments if TDC &gt; PCL)</t>
    </r>
  </si>
  <si>
    <r>
      <t xml:space="preserve">Certified Historic/ Deemed Historic? 
</t>
    </r>
    <r>
      <rPr>
        <sz val="8"/>
        <rFont val="Arial"/>
        <family val="2"/>
      </rPr>
      <t>(See QAP)</t>
    </r>
  </si>
  <si>
    <r>
      <t xml:space="preserve">Subsidy </t>
    </r>
    <r>
      <rPr>
        <b/>
        <sz val="10"/>
        <rFont val="Arial"/>
        <family val="2"/>
      </rPr>
      <t>***</t>
    </r>
  </si>
  <si>
    <r>
      <t xml:space="preserve">*** NOTE: When selecting "PHA Operating Subsidy" in the "PBRA Provider or Operating Subsidy" column above, please also then enter a zero in the "Proposed Gross Rent" column above </t>
    </r>
    <r>
      <rPr>
        <b/>
        <i/>
        <sz val="8"/>
        <rFont val="Arial Narrow"/>
        <family val="2"/>
      </rPr>
      <t>AND</t>
    </r>
    <r>
      <rPr>
        <b/>
        <sz val="8"/>
        <rFont val="Arial Narrow"/>
        <family val="2"/>
      </rPr>
      <t xml:space="preserve"> include the PHA operating subsidy amount in the "III. Ancillary and Other Income" section below.  Also refer to the Application Instructions provided separately.</t>
    </r>
  </si>
  <si>
    <r>
      <t>NOT</t>
    </r>
    <r>
      <rPr>
        <i/>
        <sz val="9"/>
        <rFont val="Arial"/>
        <family val="2"/>
      </rPr>
      <t xml:space="preserve"> Included in Mgt Fee:</t>
    </r>
  </si>
  <si>
    <r>
      <rPr>
        <u/>
        <sz val="7"/>
        <rFont val="Arial Narrow"/>
        <family val="2"/>
      </rPr>
      <t>NOTE:</t>
    </r>
    <r>
      <rPr>
        <sz val="7"/>
        <rFont val="Arial Narrow"/>
        <family val="2"/>
      </rPr>
      <t xml:space="preserve"> Unit counts are linked to Rent Chart in Part VI Revenues &amp; Expenses Tab.  Cost Limit Per Unit totals by unit type are auto-calculated.</t>
    </r>
  </si>
  <si>
    <r>
      <t xml:space="preserve">For </t>
    </r>
    <r>
      <rPr>
        <b/>
        <i/>
        <sz val="8"/>
        <rFont val="Arial Narrow"/>
        <family val="2"/>
      </rPr>
      <t>ALL</t>
    </r>
    <r>
      <rPr>
        <sz val="8"/>
        <rFont val="Arial Narrow"/>
        <family val="2"/>
      </rPr>
      <t xml:space="preserve"> options under this scoring criterion, </t>
    </r>
    <r>
      <rPr>
        <b/>
        <i/>
        <sz val="8"/>
        <rFont val="Arial Narrow"/>
        <family val="2"/>
      </rPr>
      <t>regardless of Competitive Pool chosen</t>
    </r>
    <r>
      <rPr>
        <sz val="8"/>
        <rFont val="Arial Narrow"/>
        <family val="2"/>
      </rPr>
      <t>, provide the information below:</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</si>
  <si>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</si>
  <si>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</si>
  <si>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</si>
  <si>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sz val="9"/>
        <rFont val="Arial"/>
        <family val="2"/>
      </rPr>
      <t xml:space="preserve"> of an established public transportation stop</t>
    </r>
  </si>
  <si>
    <r>
      <t>Publicly operated/sponsored and established transit service</t>
    </r>
    <r>
      <rPr>
        <sz val="8"/>
        <rFont val="Arial"/>
        <family val="2"/>
      </rPr>
      <t xml:space="preserve"> (including on-call service onsite or fixed-route service within 1/2 mile of site entrance*)</t>
    </r>
  </si>
  <si>
    <r>
      <t xml:space="preserve">Each Applicant will be limited to claiming these points for one Rural project in which they have a direct or indirect interest and which involves </t>
    </r>
    <r>
      <rPr>
        <b/>
        <sz val="8"/>
        <rFont val="Arial"/>
        <family val="2"/>
      </rPr>
      <t>completely</t>
    </r>
    <r>
      <rPr>
        <sz val="8"/>
        <rFont val="Arial"/>
        <family val="2"/>
      </rPr>
      <t xml:space="preserve"> new construction of </t>
    </r>
    <r>
      <rPr>
        <b/>
        <sz val="8"/>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</si>
  <si>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rPr>
        <b/>
        <sz val="7"/>
        <rFont val="Arial"/>
        <family val="2"/>
      </rPr>
      <t>Units:</t>
    </r>
    <r>
      <rPr>
        <sz val="7"/>
        <rFont val="Arial"/>
        <family val="2"/>
      </rPr>
      <t xml:space="preserve"> Total</t>
    </r>
  </si>
  <si>
    <r>
      <t xml:space="preserve">If Adaptive Reuse is involved,
will </t>
    </r>
    <r>
      <rPr>
        <b/>
        <u/>
        <sz val="7"/>
        <rFont val="Arial"/>
        <family val="2"/>
      </rPr>
      <t>all</t>
    </r>
    <r>
      <rPr>
        <sz val="7"/>
        <rFont val="Arial"/>
        <family val="2"/>
      </rPr>
      <t xml:space="preserve"> Adaptive Reuse units
undergo complete gut rehab?</t>
    </r>
  </si>
  <si>
    <r>
      <t xml:space="preserve">Historic </t>
    </r>
    <r>
      <rPr>
        <b/>
        <i/>
        <u/>
        <sz val="8"/>
        <rFont val="Arial"/>
        <family val="2"/>
      </rPr>
      <t>and</t>
    </r>
    <r>
      <rPr>
        <b/>
        <sz val="8"/>
        <rFont val="Arial"/>
        <family val="2"/>
      </rPr>
      <t xml:space="preserve"> Adaptive Reuse</t>
    </r>
  </si>
  <si>
    <r>
      <rPr>
        <sz val="9"/>
        <rFont val="Arial"/>
        <family val="2"/>
      </rPr>
      <t>Category</t>
    </r>
    <r>
      <rPr>
        <b/>
        <sz val="9"/>
        <rFont val="Arial"/>
        <family val="2"/>
      </rPr>
      <t xml:space="preserve"> RANKING (NOT SCORING) </t>
    </r>
    <r>
      <rPr>
        <sz val="9"/>
        <rFont val="Arial"/>
        <family val="2"/>
      </rPr>
      <t>Points</t>
    </r>
  </si>
  <si>
    <t>Choose mgt fee</t>
  </si>
  <si>
    <t>Tax Exempt Bond / 4% credit</t>
  </si>
  <si>
    <t>Sharon D. Guest</t>
  </si>
  <si>
    <t>Senior Vice President</t>
  </si>
  <si>
    <t>6780 Roswell Road, Suite 200</t>
  </si>
  <si>
    <t>sguest@thebenoitgroup.com</t>
  </si>
  <si>
    <t>Wheat Street Tower</t>
  </si>
  <si>
    <t>375 Auburn Avenue, NE</t>
  </si>
  <si>
    <t>Within City Limits</t>
  </si>
  <si>
    <t>0028.00</t>
  </si>
  <si>
    <t>Kasim Reed</t>
  </si>
  <si>
    <t>Mayor</t>
  </si>
  <si>
    <t>Arnall Golden Gregory, LLP</t>
  </si>
  <si>
    <t>171 17th Street NW</t>
  </si>
  <si>
    <t>www.agg.com</t>
  </si>
  <si>
    <t>althea.broughton@agg.com</t>
  </si>
  <si>
    <t>Alteha J. K. Broughton</t>
  </si>
  <si>
    <t>Partner</t>
  </si>
  <si>
    <t>Cohn Reznick</t>
  </si>
  <si>
    <t>3560 Lenox Road, NE, Suite 2800</t>
  </si>
  <si>
    <t>www.cohnreznick.com</t>
  </si>
  <si>
    <t>dan.worrall@cohnreznick.com</t>
  </si>
  <si>
    <t>Dan Worrall</t>
  </si>
  <si>
    <t xml:space="preserve">Dorchester Management </t>
  </si>
  <si>
    <t>www.dorchestermgmt.com</t>
  </si>
  <si>
    <t>ebenoit@thebenoitgroup.com</t>
  </si>
  <si>
    <t>Eddy Benoit, Jr.</t>
  </si>
  <si>
    <t>Chief Executive Officer</t>
  </si>
  <si>
    <t>The Benoit Group Development, LLC</t>
  </si>
  <si>
    <t>www.thebenoitgroup.com</t>
  </si>
  <si>
    <t>President &amp; CEO</t>
  </si>
  <si>
    <t>Manager</t>
  </si>
  <si>
    <t>For Profit</t>
  </si>
  <si>
    <t>HUD</t>
  </si>
  <si>
    <t>3+ Story</t>
  </si>
  <si>
    <t>Acquisition/Rehab</t>
  </si>
  <si>
    <t>Bookkeeping/Software/Bank Charges</t>
  </si>
  <si>
    <t>Credit Reports</t>
  </si>
  <si>
    <t>Common Area Mainteance/Protection Tele</t>
  </si>
  <si>
    <t>Atlanta Housing Authority</t>
  </si>
  <si>
    <t>MF</t>
  </si>
  <si>
    <t xml:space="preserve">The applicant is requesting a 4% bond allocation; consequently, the scoring components of the application are not applicable. </t>
  </si>
  <si>
    <t xml:space="preserve">The owner will pay 100% of the resident's utility expenses; consequently, there are no expenses reflected on the above chart. Per DCA's requirement, the Atlanta Housing Authority utility allowance schedule is included in Tab 1. </t>
  </si>
  <si>
    <t>Termite Inspection</t>
  </si>
  <si>
    <t>Physical Needs Assessment</t>
  </si>
  <si>
    <t>Negative Arbitrage</t>
  </si>
  <si>
    <t>Asbestos Abatement</t>
  </si>
  <si>
    <t>DDA/QCT</t>
  </si>
  <si>
    <t xml:space="preserve">Wheat Street Senior, LP </t>
  </si>
  <si>
    <t>TBG Properties, LLC</t>
  </si>
  <si>
    <t>Wheat Street Towers, LLC</t>
  </si>
  <si>
    <t>NDC</t>
  </si>
  <si>
    <t>Sugar Creek</t>
  </si>
  <si>
    <t>WSCF Development, LLC</t>
  </si>
  <si>
    <t>Wheat Street Charitable Foundation, LLC</t>
  </si>
  <si>
    <t xml:space="preserve">Atlanta </t>
  </si>
  <si>
    <t>Eric Border</t>
  </si>
  <si>
    <t>ericwborders@att.net</t>
  </si>
  <si>
    <t>17 W. Lockwood Avenue</t>
  </si>
  <si>
    <t>St. Louis</t>
  </si>
  <si>
    <t>www.sugarcreekcapital.com</t>
  </si>
  <si>
    <t>Chris Hite</t>
  </si>
  <si>
    <t>President</t>
  </si>
  <si>
    <t>chite@sugarcreekrealtyllc.com</t>
  </si>
  <si>
    <t>Eric Borders</t>
  </si>
  <si>
    <t>J. M. Wilkerson Construction Co, Inc.</t>
  </si>
  <si>
    <t>Brett Hawley</t>
  </si>
  <si>
    <t>bhawley@jmwilkerson.com</t>
  </si>
  <si>
    <t>1734 Sands Place</t>
  </si>
  <si>
    <t>www.jmwilkerson.com</t>
  </si>
  <si>
    <t>Eric W. Borders</t>
  </si>
  <si>
    <t>www.tsw-design.com</t>
  </si>
  <si>
    <t>1389 Peachtree Street, NE, Suite 200</t>
  </si>
  <si>
    <t>Wheat Street Charitable Foundation, LLC is the land seller and principal of the "Other General Partner", Wheat Street Towers, LLC and principal of the co-developer, WSCF Development, LLC.</t>
  </si>
  <si>
    <t>Eddy Benoit, Jr. is Principal of the managing general partner, developer, and property management firm.</t>
  </si>
  <si>
    <t>Turner Spangler Walsh</t>
  </si>
  <si>
    <t>Jerry W. Spangler</t>
  </si>
  <si>
    <t>jspangler@tsw-design.com</t>
  </si>
  <si>
    <t>33.755125</t>
  </si>
  <si>
    <t>-84.375137</t>
  </si>
  <si>
    <t>55 Trinity Avenue</t>
  </si>
  <si>
    <t>www.atlantaga.gov</t>
  </si>
  <si>
    <t>communications@atlantaga.gov</t>
  </si>
  <si>
    <t>N/A - 4% Bond</t>
  </si>
  <si>
    <t>133 Peachtree Street, NE, Suite 2900</t>
  </si>
  <si>
    <t>eklementich@investatlanta.com</t>
  </si>
  <si>
    <t>Eloisa Klementich</t>
  </si>
  <si>
    <t>Payment &amp; Performance Bond/Builder's Risk</t>
  </si>
  <si>
    <t>Prudential</t>
  </si>
  <si>
    <t>Amortizing</t>
  </si>
  <si>
    <t>Wheat Street Senior LP</t>
  </si>
  <si>
    <t>Acquisition Credit Opinion</t>
  </si>
  <si>
    <t>Terminte inspection report was required by Prudential</t>
  </si>
  <si>
    <t>Physcial needs assessment report required by DCA for rehabs</t>
  </si>
  <si>
    <t>It is a 3rd party report which is eligible as it is needed for architectural design.</t>
  </si>
  <si>
    <t>It is a 3rd party report which is eligible as it is needed for construction.</t>
  </si>
  <si>
    <t>Payment and Performance bond as required by the financing team and deducted from General Requirements</t>
  </si>
  <si>
    <t>As part of general requirements, it is an eligible construction expense.</t>
  </si>
  <si>
    <t>Required by the lender for 4% TE Bonds transactions</t>
  </si>
  <si>
    <t>It is NOT an eligible basis expense</t>
  </si>
  <si>
    <t>the project contains minimal asbestos in the existing common area flooring</t>
  </si>
  <si>
    <t>Asbestos abatement is an eligible construction cost</t>
  </si>
  <si>
    <t>To receive acquisition credits, an acquistion credit opinion is required.</t>
  </si>
  <si>
    <t>Working Capital and additional HUD def reserves as required by Prudential</t>
  </si>
  <si>
    <t>Working Capital</t>
  </si>
  <si>
    <t>dmarsh@ndconline.com</t>
  </si>
  <si>
    <t>One Battery Park Plaza, 24 Whitehall Street, Suite 710</t>
  </si>
  <si>
    <t>New York</t>
  </si>
  <si>
    <t>www.ndconline.com</t>
  </si>
  <si>
    <t>Dorchester Management</t>
  </si>
  <si>
    <t>JM Wilkinson</t>
  </si>
  <si>
    <t xml:space="preserve">All identities of interest have been described above. There are no instances where a confict of interest occur. The requested org chart has been included in the Performance Workbook in Tab 20 and Tab 21. </t>
  </si>
  <si>
    <t>Lender and investor commitment letters have been included in Tab 1.</t>
  </si>
  <si>
    <t xml:space="preserve">* To all applicants: please provide methodology for determining applicable construction hard costs.
The detailed construction budget is included in the Rehab Work of Scope DCA form included in Tab 15. The form does not include the general contractor fees. </t>
  </si>
  <si>
    <t>There are no debt payments that deviate from DCA's estimated payments.  All assumptions reflected on the proforma meet DCA's underwriting criteria.</t>
  </si>
  <si>
    <t>All commitment letters have been included in Tab 1. There are no commitments that are "under consideration".</t>
  </si>
  <si>
    <t>Agree</t>
  </si>
  <si>
    <t>The applicant ensures the complete, effective, and efficient and lawful utilization of the low income housing tax credits if awarded by DCA.</t>
  </si>
  <si>
    <t xml:space="preserve">If selected the project team will submit an AFFH Marketing Plan that meets all of DCA's criteria listed above. </t>
  </si>
  <si>
    <t>The total development costs are below the Maximum Project Cost Limit.</t>
  </si>
  <si>
    <t>The project will house residents 62 years and older.</t>
  </si>
  <si>
    <t>Game night, holiday events, cultural/histrocial attraction field trips, resident appreciation events</t>
  </si>
  <si>
    <t>Healthy eating/nutrition classes, creative arts classes, health screenings</t>
  </si>
  <si>
    <t>The applicant has a variety of relationships with supportive service providers and the property management team will provide monthly social and recreational programs on site.</t>
  </si>
  <si>
    <t>*To all Applicants: Real estate taxes shown in Operating Budget should be prior to any tax abatement.  The applicant has included a detailed property  tax estimate in Tab 1.  The property was previously exempt from taxes; consequently, previous tax bills (reflecting an accurate assessment) were not avaiable. 
**To all Applicants: Please provide methodology for insurance calculation. An insurance quote is included in Tab 1. 
The PBRA commitment states one of the conditions of the renewal rents is a current appraisal. The appraisal is also included in Tab 1.</t>
  </si>
  <si>
    <t>The proposed affordable senior (62 and older) project, Wheat Street Towers, is an existing 208-unit multi-family development built in 1978.
The Benoit Group Development Company is currently working closely with WSCF Development, LLC, the development arm of the Wheat Street Charitable Foundation, to renovate Wheat Street Towers to be a 208-unit low income (as defined by the Department of Housing and Urban Development) elderly and disabled persons development, built in 1978 and located approximately 2 miles from Interstate 75 on Auburn Avenue.  The project is currently owned by Wheat Street Towers, LLC.
The project will have the existing HAP contract extended and modified for seniors only for all 208 units and utilize tax credit equity and conventional debt to renovate the property at approximately $47K per unit.  The 208 units will consist of a unit mix of twenty-six (26) IBR/1BA efficiency units, and one hundred eighty-two units (182) 1BR/1BA units.  Wheat Street Towers’ Census Tract (0028.00) is located in a low income, high minority concentration, with 60% poverty per the FFIEC data (see attached).  The proposed Borrower Entity will be The New Wheat Street Towers, L.P.
Residential, retail and commercial establishments are the predominate land use in the site’s immediate area, which includes grocery stores, restaurants, automotive related businesses, banks, offices, and consumer goods retailers.  In close proximity one will also find transportation options and extensive services including the new Atlanta Street Car.
The Project will offer a variety of services to residents on-site.  These services will include planned social and recreational activities and monthly classes, such as arts and crafts, computer training, and exercise.
Planned amenities include upgraded laundry facilities and exercise room.  The project will also have a computer center and a courtyard with various gazebos and sitting areas.
SECURITY, SAFETY, AND PRIVACY
Because safety and security is a concern for the residents, Wheat Street Tower will focus on some of the exterior amenities that include controlled access into the community and a security system with cameras.</t>
  </si>
  <si>
    <t>The project team has not submitted a preapplication. The required "experience" documentation has been included in Tab 20 and 21. Additionally, the building currently has 105 occupied units. All relocation documentation has been included in Tab 25.</t>
  </si>
  <si>
    <t>Everson, Huber, and Associates</t>
  </si>
  <si>
    <t>Contract/Option</t>
  </si>
  <si>
    <t>Wheat Street Towers, LLC is the proposed owner/applicant. Wheat Street Charitable Foundation currently owns the property and is also the principal of the co-developer and other-GP.</t>
  </si>
  <si>
    <t xml:space="preserve">Wheat Street Charitable Foundation is the land seller and also principal of the other-GP and co-developer; consequently, an appraisal has been included. The appraisal meets DCA's minimum standards. </t>
  </si>
  <si>
    <t>The site is accessible from Auburn Avenue, a legally acessible paved road. Property survey and photographs have been included in the application in Tab 9.</t>
  </si>
  <si>
    <t>The property is zoned HC-20C SA3. All corresponding documentation is located in Tab 10.</t>
  </si>
  <si>
    <t>Georgia Natural Gas</t>
  </si>
  <si>
    <t xml:space="preserve">Georgia Power </t>
  </si>
  <si>
    <t>Both gas and electricity are available at the site. The required letters are included in Tab 11.</t>
  </si>
  <si>
    <t>Public water and sewer are available and have the necessary capacity for the project.  The required letters are included in Tab 12.</t>
  </si>
  <si>
    <t>City of Atlanta Website</t>
  </si>
  <si>
    <t>Invest Atlanta Website/Fulton County Daily Report</t>
  </si>
  <si>
    <t>All public meeting documentation has been included in Tab 13.</t>
  </si>
  <si>
    <t>Substantial Gut Rehab</t>
  </si>
  <si>
    <t>Newbanks</t>
  </si>
  <si>
    <t>PNA and detailed rehab scope/budget are included in Tab 15.</t>
  </si>
  <si>
    <t>The conceputal site development plan is included in Tab 16.</t>
  </si>
  <si>
    <t>The applicant agrees to meet DCA's building sustainability requirements.</t>
  </si>
  <si>
    <t>The project will meet DCA's minimum accessibility standards.</t>
  </si>
  <si>
    <t>The project received an architectural standards waiver which has been included in Tab 19.</t>
  </si>
  <si>
    <t>All team performance workbooks and requisite documentation has been included in Tab 20.</t>
  </si>
  <si>
    <t>All team performance workbooks and requisite documentation has been included in Tab 21.</t>
  </si>
  <si>
    <t>Per DCA's requirement, an acquisition opinion letter has been included in Tab 24.</t>
  </si>
  <si>
    <t>The Beniot Group owns another subsidized development two blocks from Wheat Street Tower. The ten displaced residents will be offered comparable housing in this development.</t>
  </si>
  <si>
    <t>Room</t>
  </si>
  <si>
    <t>Gazebo</t>
  </si>
  <si>
    <t>On-site laundry</t>
  </si>
  <si>
    <t>Equipped Computer Room</t>
  </si>
  <si>
    <t>Equipped Fitness Center</t>
  </si>
  <si>
    <t>Equipped Arts and Crafts Room</t>
  </si>
  <si>
    <t>Covered Porch</t>
  </si>
  <si>
    <t>The applicant agrees to meet DCA's minimum amenity standards.</t>
  </si>
  <si>
    <t>Real Property Research Group</t>
  </si>
  <si>
    <t>4 months</t>
  </si>
  <si>
    <t>There have not been any DCA tax credit projects in close proximity funded in 2013 or 2014. The Market Study has been included in Tab 5.</t>
  </si>
  <si>
    <t>Geotechnical &amp; Environmental Consultants, Inc.</t>
  </si>
  <si>
    <t>Boulevard NE, Auburn Avenue, 1-85</t>
  </si>
  <si>
    <t>The applicant commissioned enviornmental assessment was conducted in conformance with DCA's requirements and has been included in Tab 7.</t>
  </si>
  <si>
    <t>2016-524</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</si>
</sst>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1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b/>
      <i/>
      <sz val="8"/>
      <name val="Arial Narrow"/>
      <family val="2"/>
    </font>
    <font>
      <b/>
      <i/>
      <sz val="16"/>
      <name val="Arial"/>
      <family val="2"/>
    </font>
    <font>
      <u/>
      <sz val="7"/>
      <name val="Arial Narrow"/>
      <family val="2"/>
    </font>
    <font>
      <b/>
      <sz val="7"/>
      <name val="Arial Narrow"/>
      <family val="2"/>
    </font>
    <font>
      <b/>
      <sz val="16"/>
      <name val="Arial"/>
      <family val="2"/>
    </font>
    <font>
      <b/>
      <i/>
      <u/>
      <sz val="12"/>
      <name val="Arial"/>
      <family val="2"/>
    </font>
    <font>
      <b/>
      <sz val="6"/>
      <name val="Arial Narrow"/>
      <family val="2"/>
    </font>
    <font>
      <b/>
      <sz val="7"/>
      <name val="Arial"/>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19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48" fillId="0" borderId="0" xfId="0" applyFont="1" applyFill="1" applyBorder="1" applyAlignment="1" applyProtection="1">
      <alignment vertical="center"/>
      <protection locked="0"/>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52" fillId="0" borderId="0" xfId="0" applyFont="1" applyFill="1" applyBorder="1" applyAlignment="1" applyProtection="1">
      <alignment vertical="top" wrapText="1"/>
      <protection locked="0"/>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0" fontId="49" fillId="0" borderId="0" xfId="13" applyFont="1" applyFill="1" applyBorder="1" applyAlignment="1" applyProtection="1">
      <alignment vertical="center"/>
      <protection locked="0"/>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vertical="top" wrapText="1"/>
    </xf>
    <xf numFmtId="0" fontId="52" fillId="0" borderId="0" xfId="0" applyFont="1" applyFill="1" applyBorder="1" applyAlignment="1" applyProtection="1">
      <alignment horizontal="center" wrapText="1"/>
    </xf>
    <xf numFmtId="0" fontId="52" fillId="0" borderId="0" xfId="0" applyFont="1" applyFill="1" applyBorder="1" applyAlignment="1" applyProtection="1">
      <alignment vertical="center"/>
    </xf>
    <xf numFmtId="0" fontId="80" fillId="0" borderId="0" xfId="0" applyFont="1" applyFill="1" applyBorder="1" applyAlignment="1" applyProtection="1">
      <alignment horizontal="center"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wrapText="1"/>
    </xf>
    <xf numFmtId="0" fontId="1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justify" wrapText="1"/>
    </xf>
    <xf numFmtId="0" fontId="82" fillId="0" borderId="0" xfId="0" applyFont="1" applyFill="1" applyBorder="1" applyAlignment="1" applyProtection="1">
      <alignment horizontal="center"/>
    </xf>
    <xf numFmtId="0" fontId="81" fillId="0" borderId="0" xfId="0" applyFont="1" applyFill="1" applyBorder="1" applyAlignment="1" applyProtection="1">
      <alignment horizontal="center"/>
    </xf>
    <xf numFmtId="0" fontId="52" fillId="0" borderId="0" xfId="0" applyFont="1" applyFill="1" applyBorder="1" applyAlignment="1" applyProtection="1">
      <alignment vertical="top" wrapText="1"/>
    </xf>
    <xf numFmtId="42" fontId="52" fillId="0" borderId="0" xfId="2" applyNumberFormat="1" applyFont="1" applyFill="1" applyBorder="1" applyAlignment="1" applyProtection="1">
      <alignment vertical="center"/>
    </xf>
    <xf numFmtId="42" fontId="2" fillId="0" borderId="0" xfId="2" applyNumberFormat="1" applyFont="1" applyFill="1" applyBorder="1" applyAlignment="1" applyProtection="1">
      <alignment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69" fontId="52" fillId="0" borderId="0" xfId="0" applyNumberFormat="1" applyFont="1" applyFill="1" applyBorder="1" applyAlignment="1" applyProtection="1">
      <alignment vertical="center"/>
    </xf>
    <xf numFmtId="0" fontId="52" fillId="0" borderId="0" xfId="0" applyNumberFormat="1" applyFont="1" applyFill="1" applyBorder="1" applyAlignment="1" applyProtection="1">
      <alignment vertical="center"/>
    </xf>
    <xf numFmtId="0" fontId="60" fillId="0" borderId="0" xfId="0" applyFont="1" applyFill="1" applyBorder="1" applyAlignment="1" applyProtection="1">
      <alignment horizontal="right" vertical="center"/>
    </xf>
    <xf numFmtId="184" fontId="48" fillId="0" borderId="0" xfId="0" applyNumberFormat="1" applyFont="1" applyFill="1" applyBorder="1" applyAlignment="1" applyProtection="1">
      <alignment vertical="center"/>
      <protection locked="0"/>
    </xf>
    <xf numFmtId="178" fontId="52" fillId="0" borderId="0" xfId="0" applyNumberFormat="1" applyFont="1" applyFill="1" applyBorder="1" applyAlignment="1" applyProtection="1">
      <alignment vertical="center"/>
    </xf>
    <xf numFmtId="49" fontId="52" fillId="0" borderId="0" xfId="0" applyNumberFormat="1" applyFont="1" applyFill="1" applyBorder="1" applyAlignment="1" applyProtection="1">
      <alignment vertical="center"/>
    </xf>
    <xf numFmtId="0" fontId="2" fillId="0" borderId="0" xfId="0" applyNumberFormat="1" applyFont="1" applyFill="1" applyBorder="1" applyAlignment="1" applyProtection="1"/>
    <xf numFmtId="164" fontId="52" fillId="0" borderId="0" xfId="1" applyNumberFormat="1" applyFont="1" applyFill="1" applyBorder="1" applyAlignment="1" applyProtection="1">
      <alignment vertical="center"/>
    </xf>
    <xf numFmtId="0" fontId="51" fillId="0" borderId="0" xfId="0" applyFont="1" applyFill="1" applyBorder="1" applyAlignment="1" applyProtection="1">
      <alignment vertical="top"/>
    </xf>
    <xf numFmtId="1" fontId="52" fillId="0" borderId="0" xfId="1" applyNumberFormat="1" applyFont="1" applyFill="1" applyBorder="1" applyAlignment="1" applyProtection="1">
      <alignment vertical="center"/>
    </xf>
    <xf numFmtId="0" fontId="172" fillId="0" borderId="0" xfId="6" applyFont="1" applyFill="1" applyBorder="1" applyAlignment="1" applyProtection="1">
      <alignment vertical="center"/>
    </xf>
    <xf numFmtId="0" fontId="54" fillId="0" borderId="0" xfId="6" applyFont="1" applyFill="1" applyBorder="1" applyAlignment="1" applyProtection="1">
      <alignment vertical="center"/>
    </xf>
    <xf numFmtId="38" fontId="52" fillId="0" borderId="0" xfId="0" applyNumberFormat="1" applyFont="1" applyFill="1" applyBorder="1" applyAlignment="1" applyProtection="1">
      <alignment vertical="center"/>
    </xf>
    <xf numFmtId="0" fontId="58" fillId="0" borderId="0" xfId="0" applyFont="1" applyFill="1" applyBorder="1" applyAlignment="1" applyProtection="1">
      <alignment vertical="center"/>
    </xf>
    <xf numFmtId="1" fontId="52" fillId="0" borderId="0" xfId="1" applyNumberFormat="1" applyFont="1" applyFill="1" applyBorder="1" applyAlignment="1" applyProtection="1">
      <alignment horizontal="center" vertical="center"/>
    </xf>
    <xf numFmtId="0" fontId="58" fillId="0" borderId="0" xfId="0" applyFont="1" applyFill="1" applyBorder="1" applyProtection="1"/>
    <xf numFmtId="0" fontId="58" fillId="0" borderId="0" xfId="0" applyFont="1" applyFill="1" applyBorder="1" applyAlignment="1" applyProtection="1">
      <alignment horizontal="right"/>
    </xf>
    <xf numFmtId="0" fontId="52" fillId="0" borderId="0" xfId="0" quotePrefix="1" applyFont="1" applyFill="1" applyBorder="1" applyAlignment="1" applyProtection="1">
      <alignment vertical="center"/>
    </xf>
    <xf numFmtId="176" fontId="52" fillId="0" borderId="0" xfId="0" applyNumberFormat="1" applyFont="1" applyFill="1" applyBorder="1" applyAlignment="1" applyProtection="1">
      <alignment horizontal="center" vertical="center"/>
    </xf>
    <xf numFmtId="3" fontId="52" fillId="0" borderId="0" xfId="1" applyNumberFormat="1" applyFont="1" applyFill="1" applyBorder="1" applyAlignment="1" applyProtection="1">
      <alignment horizontal="center" vertical="center"/>
    </xf>
    <xf numFmtId="0" fontId="48" fillId="0" borderId="0" xfId="0" applyFont="1" applyFill="1" applyBorder="1" applyAlignment="1" applyProtection="1">
      <alignment vertical="center" wrapText="1"/>
    </xf>
    <xf numFmtId="165" fontId="52" fillId="0" borderId="0" xfId="1" applyNumberFormat="1" applyFont="1" applyFill="1" applyBorder="1" applyAlignment="1" applyProtection="1">
      <alignment horizontal="center" vertical="center"/>
    </xf>
    <xf numFmtId="9" fontId="52" fillId="0" borderId="0" xfId="0" applyNumberFormat="1" applyFont="1" applyFill="1" applyBorder="1" applyAlignment="1" applyProtection="1">
      <alignment horizontal="center" vertical="center"/>
    </xf>
    <xf numFmtId="175" fontId="52" fillId="0" borderId="0" xfId="0" applyNumberFormat="1" applyFont="1" applyFill="1" applyBorder="1" applyAlignment="1" applyProtection="1">
      <alignment vertical="center"/>
    </xf>
    <xf numFmtId="3" fontId="52" fillId="0" borderId="0" xfId="0" applyNumberFormat="1" applyFont="1" applyFill="1" applyBorder="1" applyAlignment="1" applyProtection="1">
      <alignment vertical="center"/>
    </xf>
    <xf numFmtId="0" fontId="52" fillId="0" borderId="0" xfId="0" applyFont="1" applyFill="1" applyBorder="1" applyAlignment="1" applyProtection="1">
      <alignment wrapText="1"/>
    </xf>
    <xf numFmtId="0" fontId="52" fillId="0" borderId="0" xfId="0" applyFont="1" applyFill="1" applyBorder="1" applyAlignment="1" applyProtection="1">
      <alignment horizontal="left" wrapText="1"/>
    </xf>
    <xf numFmtId="3" fontId="52" fillId="0" borderId="0" xfId="0" applyNumberFormat="1" applyFont="1" applyFill="1" applyBorder="1" applyAlignment="1" applyProtection="1">
      <alignment horizontal="center"/>
    </xf>
    <xf numFmtId="0" fontId="60" fillId="0" borderId="0" xfId="0" applyFont="1" applyFill="1" applyBorder="1" applyAlignment="1" applyProtection="1">
      <alignment wrapText="1"/>
    </xf>
    <xf numFmtId="1" fontId="52" fillId="0" borderId="0" xfId="0" applyNumberFormat="1" applyFont="1" applyFill="1" applyBorder="1" applyAlignment="1" applyProtection="1">
      <alignment horizontal="center" vertical="center"/>
    </xf>
    <xf numFmtId="9" fontId="52" fillId="0" borderId="0"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center" vertical="center"/>
    </xf>
    <xf numFmtId="10" fontId="60" fillId="0" borderId="0" xfId="10" applyNumberFormat="1" applyFont="1" applyFill="1" applyBorder="1" applyAlignment="1" applyProtection="1">
      <alignment horizontal="center" vertical="center"/>
    </xf>
    <xf numFmtId="0" fontId="48" fillId="0" borderId="0" xfId="0" applyFont="1" applyFill="1" applyBorder="1" applyAlignment="1" applyProtection="1"/>
    <xf numFmtId="6" fontId="52" fillId="0" borderId="0" xfId="0" applyNumberFormat="1" applyFont="1" applyFill="1" applyBorder="1" applyAlignment="1" applyProtection="1">
      <alignment vertical="center"/>
    </xf>
    <xf numFmtId="0" fontId="48" fillId="0" borderId="0" xfId="0" applyFont="1" applyFill="1" applyBorder="1" applyAlignment="1" applyProtection="1">
      <alignment vertical="top" wrapText="1"/>
    </xf>
    <xf numFmtId="0" fontId="60" fillId="0" borderId="0" xfId="0" applyFont="1" applyFill="1" applyBorder="1" applyAlignment="1" applyProtection="1">
      <alignment horizontal="right"/>
    </xf>
    <xf numFmtId="0" fontId="80" fillId="0" borderId="0" xfId="6" applyFont="1" applyFill="1" applyBorder="1" applyAlignment="1" applyProtection="1">
      <alignment vertical="center"/>
    </xf>
    <xf numFmtId="0" fontId="60" fillId="0" borderId="0" xfId="0" quotePrefix="1" applyFont="1" applyFill="1" applyBorder="1" applyAlignment="1" applyProtection="1"/>
    <xf numFmtId="0" fontId="60" fillId="0" borderId="0" xfId="0" quotePrefix="1" applyFont="1" applyFill="1" applyBorder="1" applyAlignment="1" applyProtection="1">
      <alignment horizontal="right"/>
    </xf>
    <xf numFmtId="0" fontId="60" fillId="0" borderId="0" xfId="0" quotePrefix="1" applyFont="1" applyFill="1" applyBorder="1" applyAlignment="1" applyProtection="1">
      <alignment vertical="top"/>
    </xf>
    <xf numFmtId="0" fontId="52" fillId="0" borderId="0" xfId="0" applyFont="1" applyFill="1" applyBorder="1" applyAlignment="1" applyProtection="1">
      <alignment horizontal="center" vertical="top"/>
    </xf>
    <xf numFmtId="0" fontId="49" fillId="0" borderId="0" xfId="0" applyFont="1" applyFill="1" applyBorder="1" applyAlignment="1" applyProtection="1">
      <alignment vertical="top" wrapText="1"/>
    </xf>
    <xf numFmtId="0" fontId="60" fillId="0" borderId="0" xfId="0" applyFont="1" applyFill="1" applyBorder="1" applyAlignment="1" applyProtection="1">
      <alignment vertical="top" wrapText="1"/>
    </xf>
    <xf numFmtId="0" fontId="52" fillId="0" borderId="0" xfId="0" applyNumberFormat="1" applyFont="1" applyFill="1" applyBorder="1" applyAlignment="1" applyProtection="1">
      <alignment horizontal="center" vertical="top"/>
    </xf>
    <xf numFmtId="174" fontId="52" fillId="0" borderId="0" xfId="10" applyNumberFormat="1" applyFont="1" applyFill="1" applyBorder="1" applyAlignment="1" applyProtection="1">
      <alignment horizontal="center" vertical="top"/>
    </xf>
    <xf numFmtId="174" fontId="52" fillId="0" borderId="0" xfId="10" applyNumberFormat="1" applyFont="1" applyFill="1" applyBorder="1" applyAlignment="1" applyProtection="1">
      <alignment vertical="center"/>
    </xf>
    <xf numFmtId="0" fontId="48" fillId="0" borderId="0" xfId="0" applyFont="1" applyFill="1" applyBorder="1" applyAlignment="1" applyProtection="1">
      <alignment horizontal="right" vertical="center"/>
    </xf>
    <xf numFmtId="3" fontId="52" fillId="0" borderId="0" xfId="1" applyNumberFormat="1" applyFont="1" applyFill="1" applyBorder="1" applyAlignment="1" applyProtection="1">
      <alignment vertical="center"/>
    </xf>
    <xf numFmtId="38" fontId="60" fillId="0" borderId="0" xfId="2" applyNumberFormat="1" applyFont="1" applyFill="1" applyBorder="1" applyAlignment="1" applyProtection="1">
      <alignment vertical="center"/>
    </xf>
    <xf numFmtId="38" fontId="60" fillId="0" borderId="0" xfId="0" applyNumberFormat="1" applyFont="1" applyFill="1" applyBorder="1" applyAlignment="1" applyProtection="1">
      <alignment vertical="center"/>
    </xf>
    <xf numFmtId="0" fontId="48" fillId="0" borderId="0" xfId="0" applyFont="1" applyFill="1" applyBorder="1" applyProtection="1"/>
    <xf numFmtId="166" fontId="52" fillId="0" borderId="0" xfId="0" applyNumberFormat="1" applyFont="1" applyFill="1" applyBorder="1" applyAlignment="1" applyProtection="1">
      <alignment horizontal="center" vertical="center"/>
    </xf>
    <xf numFmtId="38" fontId="52" fillId="0" borderId="0" xfId="2" applyNumberFormat="1" applyFont="1" applyFill="1" applyBorder="1" applyAlignment="1" applyProtection="1">
      <alignment vertical="center"/>
    </xf>
    <xf numFmtId="10" fontId="52" fillId="0" borderId="0" xfId="0" applyNumberFormat="1" applyFont="1" applyFill="1" applyBorder="1" applyAlignment="1" applyProtection="1">
      <alignment horizontal="center" vertical="center"/>
    </xf>
    <xf numFmtId="0" fontId="80" fillId="0" borderId="0" xfId="0" applyFont="1" applyFill="1" applyBorder="1" applyAlignment="1" applyProtection="1">
      <alignment vertical="center"/>
    </xf>
    <xf numFmtId="0" fontId="71" fillId="0" borderId="0" xfId="0" quotePrefix="1" applyFont="1" applyFill="1" applyBorder="1" applyAlignment="1" applyProtection="1">
      <alignment vertical="center"/>
    </xf>
    <xf numFmtId="3" fontId="48" fillId="0" borderId="0" xfId="0" applyNumberFormat="1" applyFont="1" applyFill="1" applyBorder="1" applyAlignment="1" applyProtection="1">
      <alignment vertical="center"/>
    </xf>
    <xf numFmtId="4" fontId="48" fillId="0" borderId="0" xfId="0" applyNumberFormat="1" applyFont="1" applyFill="1" applyBorder="1" applyAlignment="1" applyProtection="1">
      <alignment vertical="center"/>
    </xf>
    <xf numFmtId="0" fontId="51" fillId="0" borderId="0" xfId="0" applyFont="1" applyFill="1" applyBorder="1" applyAlignment="1" applyProtection="1"/>
    <xf numFmtId="0" fontId="2" fillId="0" borderId="0" xfId="0" applyFont="1" applyFill="1" applyBorder="1" applyAlignment="1" applyProtection="1">
      <alignment vertical="top" wrapText="1"/>
    </xf>
    <xf numFmtId="0" fontId="96" fillId="0" borderId="0" xfId="0" applyFont="1" applyFill="1" applyBorder="1" applyAlignment="1" applyProtection="1">
      <alignment vertical="top"/>
    </xf>
    <xf numFmtId="0" fontId="60" fillId="0" borderId="0" xfId="0" applyFont="1" applyFill="1" applyBorder="1" applyAlignment="1" applyProtection="1">
      <alignment vertical="center" wrapText="1"/>
    </xf>
    <xf numFmtId="164" fontId="60" fillId="0" borderId="0" xfId="1" applyNumberFormat="1" applyFont="1" applyFill="1" applyBorder="1" applyAlignment="1" applyProtection="1">
      <alignment vertical="center" wrapText="1"/>
    </xf>
    <xf numFmtId="0" fontId="96" fillId="0" borderId="0" xfId="0" applyFont="1" applyFill="1" applyBorder="1" applyAlignment="1" applyProtection="1">
      <alignment vertical="center"/>
    </xf>
    <xf numFmtId="0" fontId="1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68" fillId="0" borderId="0" xfId="0" applyFont="1" applyFill="1" applyBorder="1" applyAlignment="1" applyProtection="1">
      <alignment horizontal="right" vertical="center"/>
    </xf>
    <xf numFmtId="164" fontId="60"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vertical="center"/>
    </xf>
    <xf numFmtId="10" fontId="60" fillId="0" borderId="0"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center"/>
    </xf>
    <xf numFmtId="0" fontId="52" fillId="0" borderId="0" xfId="0" applyFont="1" applyFill="1" applyBorder="1" applyAlignment="1" applyProtection="1">
      <alignment horizontal="left" vertical="top"/>
    </xf>
    <xf numFmtId="0" fontId="69" fillId="0" borderId="0" xfId="0" applyFont="1" applyFill="1" applyBorder="1" applyAlignment="1" applyProtection="1">
      <alignment vertical="top"/>
    </xf>
    <xf numFmtId="0" fontId="69" fillId="0" borderId="0" xfId="0" applyFont="1" applyFill="1" applyBorder="1" applyAlignment="1" applyProtection="1">
      <alignment vertical="center"/>
    </xf>
    <xf numFmtId="4" fontId="69" fillId="0" borderId="0" xfId="1" applyNumberFormat="1" applyFont="1" applyFill="1" applyBorder="1" applyAlignment="1" applyProtection="1">
      <alignment horizontal="right" vertical="center"/>
    </xf>
    <xf numFmtId="171" fontId="58" fillId="0" borderId="0" xfId="0" applyNumberFormat="1" applyFont="1" applyFill="1" applyBorder="1" applyAlignment="1" applyProtection="1">
      <alignment horizontal="left" vertical="center"/>
    </xf>
    <xf numFmtId="4" fontId="69" fillId="0" borderId="0" xfId="1" applyNumberFormat="1" applyFont="1" applyFill="1" applyBorder="1" applyAlignment="1" applyProtection="1">
      <alignment vertical="center"/>
    </xf>
    <xf numFmtId="171" fontId="69" fillId="0" borderId="0" xfId="0" applyNumberFormat="1" applyFont="1" applyFill="1" applyBorder="1" applyAlignment="1" applyProtection="1">
      <alignment vertical="center"/>
    </xf>
    <xf numFmtId="4" fontId="69" fillId="0" borderId="0" xfId="0" applyNumberFormat="1" applyFont="1" applyFill="1" applyBorder="1" applyAlignment="1" applyProtection="1">
      <alignment vertical="center"/>
    </xf>
    <xf numFmtId="0" fontId="69" fillId="0" borderId="0" xfId="0" applyFont="1" applyFill="1" applyBorder="1" applyAlignment="1" applyProtection="1">
      <alignment horizontal="right" vertical="center"/>
    </xf>
    <xf numFmtId="0" fontId="69" fillId="0" borderId="0" xfId="0" applyFont="1" applyFill="1" applyBorder="1" applyAlignment="1" applyProtection="1">
      <alignment horizontal="center" vertical="center"/>
    </xf>
    <xf numFmtId="164" fontId="69" fillId="0" borderId="0" xfId="1" applyNumberFormat="1" applyFont="1" applyFill="1" applyBorder="1" applyAlignment="1" applyProtection="1">
      <alignment vertical="center"/>
    </xf>
    <xf numFmtId="3" fontId="52" fillId="0" borderId="0" xfId="0" applyNumberFormat="1" applyFont="1" applyFill="1" applyBorder="1" applyProtection="1"/>
    <xf numFmtId="3" fontId="52" fillId="0" borderId="0" xfId="0" applyNumberFormat="1" applyFont="1" applyFill="1" applyBorder="1" applyAlignment="1" applyProtection="1">
      <alignment horizontal="center" vertical="center"/>
    </xf>
    <xf numFmtId="0" fontId="68" fillId="0" borderId="0" xfId="0" applyFont="1" applyFill="1" applyBorder="1" applyAlignment="1" applyProtection="1">
      <alignment horizontal="center" vertical="center"/>
    </xf>
    <xf numFmtId="164" fontId="60" fillId="0" borderId="0" xfId="1" applyNumberFormat="1" applyFont="1" applyFill="1" applyBorder="1" applyAlignment="1" applyProtection="1">
      <alignment vertical="center"/>
    </xf>
    <xf numFmtId="0" fontId="68" fillId="0" borderId="0" xfId="0" applyFont="1" applyFill="1" applyBorder="1" applyAlignment="1" applyProtection="1">
      <alignment horizontal="left" vertical="center"/>
    </xf>
    <xf numFmtId="4" fontId="52" fillId="0" borderId="0" xfId="1" applyNumberFormat="1" applyFont="1" applyFill="1" applyBorder="1" applyAlignment="1" applyProtection="1">
      <alignment vertical="center"/>
    </xf>
    <xf numFmtId="10" fontId="52" fillId="0" borderId="0" xfId="0" applyNumberFormat="1" applyFont="1" applyFill="1" applyBorder="1" applyAlignment="1" applyProtection="1">
      <alignment vertical="center"/>
    </xf>
    <xf numFmtId="10" fontId="60" fillId="0" borderId="0" xfId="0" applyNumberFormat="1" applyFont="1" applyFill="1" applyBorder="1" applyAlignment="1" applyProtection="1">
      <alignment vertical="center"/>
    </xf>
    <xf numFmtId="0" fontId="52" fillId="0" borderId="0" xfId="0" quotePrefix="1" applyFont="1" applyFill="1" applyBorder="1" applyAlignment="1" applyProtection="1">
      <alignment horizontal="right" vertical="center"/>
    </xf>
    <xf numFmtId="0" fontId="5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49" fillId="0" borderId="0" xfId="0" applyFont="1" applyFill="1" applyBorder="1" applyAlignment="1" applyProtection="1">
      <alignment vertical="center" wrapText="1"/>
    </xf>
    <xf numFmtId="0" fontId="48" fillId="0" borderId="0" xfId="0" applyFont="1" applyFill="1" applyBorder="1" applyAlignment="1" applyProtection="1">
      <alignment vertical="top"/>
    </xf>
    <xf numFmtId="164" fontId="48" fillId="0" borderId="0" xfId="1" applyNumberFormat="1" applyFont="1" applyFill="1" applyBorder="1" applyAlignment="1" applyProtection="1">
      <alignment horizontal="center" vertical="center"/>
    </xf>
    <xf numFmtId="168" fontId="52" fillId="0" borderId="0" xfId="0" applyNumberFormat="1" applyFont="1" applyFill="1" applyBorder="1" applyAlignment="1" applyProtection="1">
      <alignment vertical="center"/>
    </xf>
    <xf numFmtId="170" fontId="52" fillId="0" borderId="0" xfId="0" applyNumberFormat="1" applyFont="1" applyFill="1" applyBorder="1" applyAlignment="1" applyProtection="1">
      <alignment vertical="center"/>
    </xf>
    <xf numFmtId="0" fontId="4" fillId="0" borderId="0" xfId="0" applyFont="1" applyFill="1" applyBorder="1" applyAlignment="1" applyProtection="1">
      <alignment vertical="center" wrapText="1"/>
    </xf>
    <xf numFmtId="0" fontId="7" fillId="0" borderId="0" xfId="13" applyFont="1" applyFill="1" applyBorder="1" applyAlignment="1" applyProtection="1">
      <alignment vertical="center"/>
    </xf>
    <xf numFmtId="0" fontId="2" fillId="0" borderId="0" xfId="13" applyFont="1" applyFill="1" applyBorder="1"/>
    <xf numFmtId="0" fontId="8" fillId="0" borderId="0" xfId="13" applyFont="1" applyFill="1" applyBorder="1" applyAlignment="1">
      <alignment vertical="top" wrapText="1"/>
    </xf>
    <xf numFmtId="0" fontId="170" fillId="0" borderId="0" xfId="13" applyFont="1" applyFill="1" applyBorder="1" applyAlignment="1" applyProtection="1">
      <alignment horizontal="center" vertical="center" wrapText="1"/>
    </xf>
    <xf numFmtId="0" fontId="2" fillId="0" borderId="0" xfId="13" applyFont="1" applyFill="1" applyBorder="1" applyAlignment="1" applyProtection="1">
      <alignment vertical="center"/>
    </xf>
    <xf numFmtId="0" fontId="92" fillId="0" borderId="0" xfId="13" applyFont="1" applyFill="1" applyBorder="1" applyAlignment="1" applyProtection="1">
      <alignment horizontal="center" vertical="center"/>
    </xf>
    <xf numFmtId="0" fontId="49" fillId="0" borderId="0" xfId="13" applyFont="1" applyFill="1" applyBorder="1"/>
    <xf numFmtId="0" fontId="49" fillId="0" borderId="0" xfId="13" applyFont="1" applyFill="1" applyBorder="1" applyAlignment="1" applyProtection="1">
      <alignment vertical="center"/>
    </xf>
    <xf numFmtId="0" fontId="48" fillId="0" borderId="0" xfId="1" applyNumberFormat="1" applyFont="1" applyFill="1" applyBorder="1" applyAlignment="1" applyProtection="1">
      <alignment vertical="top" wrapText="1"/>
    </xf>
    <xf numFmtId="0" fontId="48" fillId="0" borderId="0" xfId="1" applyNumberFormat="1" applyFont="1" applyFill="1" applyBorder="1" applyAlignment="1" applyProtection="1">
      <alignment vertical="top" wrapText="1"/>
      <protection locked="0"/>
    </xf>
    <xf numFmtId="164" fontId="49" fillId="0" borderId="0" xfId="1" applyNumberFormat="1" applyFont="1" applyFill="1" applyBorder="1" applyAlignment="1" applyProtection="1">
      <alignment horizontal="right" vertical="center"/>
    </xf>
    <xf numFmtId="164" fontId="49" fillId="0" borderId="0" xfId="1" applyNumberFormat="1" applyFont="1" applyFill="1" applyBorder="1" applyAlignment="1" applyProtection="1">
      <alignment vertical="center"/>
    </xf>
    <xf numFmtId="164" fontId="49" fillId="0" borderId="0" xfId="1" applyNumberFormat="1" applyFont="1" applyFill="1" applyBorder="1" applyAlignment="1" applyProtection="1">
      <alignment horizontal="right" vertical="center"/>
      <protection locked="0"/>
    </xf>
    <xf numFmtId="0" fontId="2" fillId="0" borderId="0" xfId="0" applyFont="1" applyFill="1" applyBorder="1" applyAlignment="1" applyProtection="1"/>
    <xf numFmtId="175" fontId="2" fillId="0" borderId="0" xfId="0" applyNumberFormat="1" applyFont="1" applyFill="1" applyBorder="1" applyAlignment="1" applyProtection="1"/>
    <xf numFmtId="0" fontId="7" fillId="0" borderId="0" xfId="0" applyFont="1" applyFill="1" applyBorder="1" applyAlignment="1" applyProtection="1"/>
    <xf numFmtId="0" fontId="7" fillId="0" borderId="0" xfId="0" applyNumberFormat="1" applyFont="1" applyFill="1" applyBorder="1" applyAlignment="1" applyProtection="1">
      <alignment horizontal="center" vertical="center"/>
    </xf>
    <xf numFmtId="0" fontId="28" fillId="0" borderId="0" xfId="0" applyFont="1" applyFill="1" applyBorder="1" applyProtection="1"/>
    <xf numFmtId="0" fontId="12" fillId="0" borderId="0" xfId="0" applyFont="1" applyFill="1" applyBorder="1" applyProtection="1"/>
    <xf numFmtId="0" fontId="2" fillId="0" borderId="0" xfId="0" applyFont="1" applyFill="1" applyBorder="1" applyAlignment="1" applyProtection="1">
      <alignment wrapText="1"/>
    </xf>
    <xf numFmtId="0" fontId="9" fillId="0" borderId="0" xfId="0" applyFont="1" applyFill="1" applyBorder="1" applyAlignment="1" applyProtection="1">
      <alignment wrapText="1"/>
    </xf>
    <xf numFmtId="0" fontId="9" fillId="0" borderId="0" xfId="0" applyFont="1" applyFill="1" applyBorder="1" applyAlignment="1" applyProtection="1">
      <alignment horizontal="center" wrapText="1"/>
    </xf>
    <xf numFmtId="0" fontId="9" fillId="0" borderId="0" xfId="0" applyFont="1" applyFill="1" applyBorder="1" applyAlignment="1" applyProtection="1">
      <alignment textRotation="90" wrapText="1"/>
    </xf>
    <xf numFmtId="0" fontId="9" fillId="0" borderId="0" xfId="0" applyFont="1" applyFill="1" applyBorder="1" applyAlignment="1" applyProtection="1">
      <alignment vertical="center" wrapText="1"/>
    </xf>
    <xf numFmtId="3"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56" fillId="0" borderId="0" xfId="0" applyFont="1" applyFill="1" applyBorder="1" applyAlignment="1" applyProtection="1">
      <alignment horizontal="center" vertical="center"/>
    </xf>
    <xf numFmtId="0" fontId="12" fillId="0" borderId="0" xfId="10" applyNumberFormat="1" applyFont="1" applyFill="1" applyBorder="1" applyAlignment="1" applyProtection="1">
      <alignment horizontal="center" vertical="center"/>
    </xf>
    <xf numFmtId="1" fontId="12" fillId="0" borderId="0" xfId="1" applyNumberFormat="1" applyFont="1" applyFill="1" applyBorder="1" applyAlignment="1" applyProtection="1">
      <alignment horizontal="center" vertical="center"/>
    </xf>
    <xf numFmtId="173" fontId="12" fillId="0" borderId="0"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center" vertical="center"/>
    </xf>
    <xf numFmtId="3" fontId="48" fillId="0" borderId="0" xfId="1" applyNumberFormat="1" applyFont="1" applyFill="1" applyBorder="1" applyAlignment="1" applyProtection="1">
      <alignment horizontal="center" vertical="center"/>
    </xf>
    <xf numFmtId="38" fontId="12" fillId="0" borderId="0" xfId="1" applyNumberFormat="1" applyFont="1" applyFill="1" applyBorder="1" applyAlignment="1" applyProtection="1">
      <alignment horizontal="center" vertical="center"/>
    </xf>
    <xf numFmtId="0" fontId="48" fillId="0" borderId="0" xfId="0" applyFont="1" applyFill="1" applyBorder="1" applyAlignment="1" applyProtection="1">
      <alignment horizontal="center" vertical="center"/>
    </xf>
    <xf numFmtId="3" fontId="12" fillId="0" borderId="0" xfId="0" applyNumberFormat="1" applyFont="1" applyFill="1" applyBorder="1" applyAlignment="1" applyProtection="1">
      <alignment horizontal="center" vertical="center"/>
    </xf>
    <xf numFmtId="10" fontId="12" fillId="0" borderId="0" xfId="0" applyNumberFormat="1" applyFont="1" applyFill="1" applyBorder="1" applyAlignment="1" applyProtection="1">
      <alignment horizontal="center" vertical="center"/>
    </xf>
    <xf numFmtId="3" fontId="2" fillId="0" borderId="0" xfId="0" applyNumberFormat="1" applyFont="1" applyFill="1" applyBorder="1" applyAlignment="1" applyProtection="1">
      <alignment horizontal="center"/>
    </xf>
    <xf numFmtId="37" fontId="12" fillId="0" borderId="0" xfId="1" applyNumberFormat="1" applyFont="1" applyFill="1" applyBorder="1" applyAlignment="1" applyProtection="1">
      <alignment horizontal="center" vertical="center"/>
    </xf>
    <xf numFmtId="0" fontId="12" fillId="0" borderId="0" xfId="0" applyFont="1" applyFill="1" applyBorder="1" applyAlignment="1" applyProtection="1">
      <alignment horizontal="right" vertical="center"/>
    </xf>
    <xf numFmtId="0" fontId="7"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0" fontId="49" fillId="0" borderId="0" xfId="0" applyFont="1" applyFill="1" applyBorder="1" applyAlignment="1" applyProtection="1">
      <alignment horizontal="left" vertical="center" wrapText="1"/>
    </xf>
    <xf numFmtId="0" fontId="13"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38" fontId="2" fillId="0" borderId="0" xfId="1" applyNumberFormat="1" applyFont="1" applyFill="1" applyBorder="1" applyAlignment="1" applyProtection="1">
      <alignment horizontal="right" vertical="center"/>
    </xf>
    <xf numFmtId="0" fontId="9" fillId="0" borderId="0" xfId="0" applyFont="1" applyFill="1" applyBorder="1" applyAlignment="1" applyProtection="1">
      <alignment horizontal="center"/>
    </xf>
    <xf numFmtId="38" fontId="2" fillId="0" borderId="0" xfId="0" applyNumberFormat="1" applyFont="1" applyFill="1" applyBorder="1" applyAlignment="1" applyProtection="1">
      <alignment horizontal="right" vertical="center"/>
    </xf>
    <xf numFmtId="0" fontId="9" fillId="0" borderId="0" xfId="0" applyFont="1" applyFill="1" applyBorder="1" applyAlignment="1" applyProtection="1"/>
    <xf numFmtId="0" fontId="9" fillId="0" borderId="0" xfId="0" applyFont="1" applyFill="1" applyBorder="1" applyAlignment="1" applyProtection="1">
      <alignment horizontal="left"/>
    </xf>
    <xf numFmtId="0" fontId="2" fillId="0" borderId="0" xfId="0" applyFont="1" applyFill="1" applyBorder="1" applyAlignment="1" applyProtection="1">
      <alignment horizontal="left"/>
    </xf>
    <xf numFmtId="38" fontId="2" fillId="0" borderId="0" xfId="0" applyNumberFormat="1" applyFont="1" applyFill="1" applyBorder="1" applyProtection="1"/>
    <xf numFmtId="0" fontId="49" fillId="0" borderId="0" xfId="0" applyFont="1" applyFill="1" applyBorder="1" applyProtection="1"/>
    <xf numFmtId="38"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vertical="center"/>
    </xf>
    <xf numFmtId="0" fontId="9" fillId="0" borderId="0" xfId="0" applyFont="1" applyFill="1" applyBorder="1" applyProtection="1"/>
    <xf numFmtId="164" fontId="12" fillId="0" borderId="0" xfId="0" applyNumberFormat="1" applyFont="1" applyFill="1" applyBorder="1" applyAlignment="1" applyProtection="1"/>
    <xf numFmtId="10" fontId="12" fillId="0" borderId="0" xfId="0" applyNumberFormat="1" applyFont="1" applyFill="1" applyBorder="1" applyProtection="1"/>
    <xf numFmtId="0" fontId="12" fillId="0" borderId="0" xfId="0" applyFont="1" applyFill="1" applyBorder="1" applyAlignment="1" applyProtection="1"/>
    <xf numFmtId="0" fontId="12" fillId="0" borderId="0" xfId="0" applyFont="1" applyFill="1" applyBorder="1" applyAlignment="1" applyProtection="1">
      <alignment horizontal="left" indent="2"/>
    </xf>
    <xf numFmtId="0" fontId="22" fillId="0" borderId="0" xfId="0" applyFont="1" applyFill="1" applyBorder="1" applyProtection="1"/>
    <xf numFmtId="0" fontId="25" fillId="0" borderId="0" xfId="1" applyNumberFormat="1" applyFont="1" applyFill="1" applyBorder="1" applyAlignment="1" applyProtection="1">
      <alignment horizontal="center"/>
    </xf>
    <xf numFmtId="3" fontId="12" fillId="0" borderId="0"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44" fontId="12" fillId="0" borderId="0" xfId="0" applyNumberFormat="1" applyFont="1" applyFill="1" applyBorder="1" applyProtection="1"/>
    <xf numFmtId="44" fontId="2" fillId="0" borderId="0" xfId="0" applyNumberFormat="1" applyFont="1" applyFill="1" applyBorder="1" applyProtection="1"/>
    <xf numFmtId="38" fontId="3" fillId="0" borderId="0" xfId="0" applyNumberFormat="1" applyFont="1" applyFill="1" applyBorder="1" applyAlignment="1" applyProtection="1">
      <alignment vertical="center" wrapText="1"/>
    </xf>
    <xf numFmtId="38" fontId="2" fillId="0" borderId="0" xfId="0" applyNumberFormat="1" applyFont="1" applyFill="1" applyBorder="1" applyAlignment="1" applyProtection="1">
      <alignment horizontal="center" vertical="center"/>
    </xf>
    <xf numFmtId="3" fontId="2" fillId="0" borderId="0" xfId="1" applyNumberFormat="1" applyFont="1" applyFill="1" applyBorder="1" applyAlignment="1" applyProtection="1">
      <alignment vertical="center"/>
    </xf>
    <xf numFmtId="4" fontId="1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10" fontId="2" fillId="0" borderId="0" xfId="0" applyNumberFormat="1" applyFont="1" applyFill="1" applyBorder="1" applyAlignment="1" applyProtection="1">
      <alignment horizontal="left"/>
    </xf>
    <xf numFmtId="164" fontId="2" fillId="0" borderId="0" xfId="1" applyNumberFormat="1" applyFont="1" applyFill="1" applyBorder="1" applyAlignment="1" applyProtection="1">
      <alignment horizontal="right"/>
    </xf>
    <xf numFmtId="10" fontId="2" fillId="0" borderId="0" xfId="0" applyNumberFormat="1" applyFont="1" applyFill="1" applyBorder="1" applyAlignment="1" applyProtection="1">
      <alignment horizontal="center"/>
    </xf>
    <xf numFmtId="0" fontId="2" fillId="0" borderId="0" xfId="0" applyFont="1" applyFill="1" applyBorder="1" applyAlignment="1" applyProtection="1">
      <alignment horizontal="right"/>
    </xf>
    <xf numFmtId="0" fontId="2" fillId="0" borderId="0" xfId="0" applyNumberFormat="1" applyFont="1" applyFill="1" applyBorder="1" applyAlignment="1" applyProtection="1">
      <alignment horizontal="right" vertical="center"/>
    </xf>
    <xf numFmtId="0" fontId="2" fillId="0" borderId="0" xfId="0" quotePrefix="1" applyFont="1" applyFill="1" applyBorder="1" applyAlignment="1" applyProtection="1">
      <alignment horizontal="left" vertical="center"/>
    </xf>
    <xf numFmtId="3" fontId="2" fillId="0" borderId="0" xfId="10" applyNumberFormat="1" applyFont="1" applyFill="1" applyBorder="1" applyAlignment="1" applyProtection="1">
      <alignment horizontal="right" vertical="center"/>
    </xf>
    <xf numFmtId="166" fontId="2" fillId="0" borderId="0" xfId="10" applyNumberFormat="1" applyFont="1" applyFill="1" applyBorder="1" applyAlignment="1" applyProtection="1">
      <alignment horizontal="right" vertical="center"/>
    </xf>
    <xf numFmtId="164" fontId="2" fillId="0" borderId="0" xfId="1" applyNumberFormat="1" applyFont="1" applyFill="1" applyBorder="1" applyProtection="1"/>
    <xf numFmtId="43" fontId="2" fillId="0" borderId="0" xfId="1" applyNumberFormat="1" applyFont="1" applyFill="1" applyBorder="1" applyProtection="1"/>
    <xf numFmtId="39" fontId="2" fillId="0" borderId="0" xfId="1" applyNumberFormat="1" applyFont="1" applyFill="1" applyBorder="1" applyAlignment="1" applyProtection="1">
      <alignment horizontal="right"/>
    </xf>
    <xf numFmtId="164" fontId="7" fillId="0" borderId="0" xfId="1" applyNumberFormat="1" applyFont="1" applyFill="1" applyBorder="1" applyProtection="1"/>
    <xf numFmtId="0" fontId="209"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4" fillId="0" borderId="0" xfId="0" applyFont="1" applyFill="1" applyBorder="1" applyProtection="1"/>
    <xf numFmtId="0" fontId="170" fillId="0" borderId="0" xfId="0" applyFont="1" applyFill="1" applyBorder="1" applyAlignment="1" applyProtection="1">
      <alignment vertical="center"/>
    </xf>
    <xf numFmtId="0" fontId="7" fillId="0" borderId="0" xfId="0" applyFont="1" applyFill="1" applyBorder="1" applyAlignment="1" applyProtection="1">
      <alignment horizontal="left" vertical="top"/>
    </xf>
    <xf numFmtId="0" fontId="7" fillId="0" borderId="0" xfId="0" applyFont="1" applyFill="1" applyBorder="1" applyAlignment="1" applyProtection="1">
      <alignment vertical="top"/>
    </xf>
    <xf numFmtId="0" fontId="13" fillId="0" borderId="0" xfId="0" applyFont="1" applyFill="1" applyBorder="1" applyAlignment="1" applyProtection="1">
      <alignment horizontal="right" vertical="top"/>
    </xf>
    <xf numFmtId="0" fontId="9" fillId="0" borderId="0" xfId="0" applyNumberFormat="1" applyFont="1" applyFill="1" applyBorder="1" applyAlignment="1" applyProtection="1">
      <alignment vertical="center" wrapText="1"/>
    </xf>
    <xf numFmtId="0" fontId="56" fillId="0" borderId="0" xfId="0" applyFont="1" applyFill="1" applyBorder="1" applyAlignment="1" applyProtection="1">
      <alignment vertical="top" wrapText="1"/>
    </xf>
    <xf numFmtId="0" fontId="49" fillId="0" borderId="0" xfId="0" applyFont="1" applyFill="1" applyBorder="1" applyAlignment="1" applyProtection="1">
      <alignment horizontal="right"/>
    </xf>
    <xf numFmtId="0" fontId="49" fillId="0" borderId="0" xfId="0" applyFont="1" applyFill="1" applyBorder="1" applyAlignment="1" applyProtection="1">
      <alignment horizontal="justify"/>
    </xf>
    <xf numFmtId="0" fontId="3" fillId="0" borderId="0" xfId="0" applyFont="1" applyFill="1" applyBorder="1" applyAlignment="1" applyProtection="1">
      <alignment wrapText="1"/>
    </xf>
    <xf numFmtId="0" fontId="92" fillId="0" borderId="0" xfId="0" applyFont="1" applyFill="1" applyBorder="1" applyAlignment="1" applyProtection="1">
      <alignment vertical="top" wrapText="1"/>
    </xf>
    <xf numFmtId="0" fontId="49" fillId="0" borderId="0" xfId="0" applyFont="1" applyFill="1" applyBorder="1" applyAlignment="1" applyProtection="1">
      <alignment horizontal="justify" vertical="center"/>
    </xf>
    <xf numFmtId="37" fontId="3" fillId="0" borderId="0" xfId="0" applyNumberFormat="1" applyFont="1" applyFill="1" applyBorder="1" applyAlignment="1" applyProtection="1">
      <alignment horizontal="center" vertical="center"/>
    </xf>
    <xf numFmtId="38" fontId="3" fillId="0" borderId="0" xfId="0" applyNumberFormat="1" applyFont="1" applyFill="1" applyBorder="1" applyAlignment="1" applyProtection="1">
      <alignment horizontal="right" vertical="center" wrapText="1"/>
    </xf>
    <xf numFmtId="3" fontId="49"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vertical="center" wrapText="1"/>
    </xf>
    <xf numFmtId="0" fontId="169" fillId="0" borderId="0" xfId="0" applyFont="1" applyFill="1" applyBorder="1" applyAlignment="1" applyProtection="1">
      <alignment horizontal="right" vertical="top"/>
    </xf>
    <xf numFmtId="3" fontId="15" fillId="0" borderId="0" xfId="0" applyNumberFormat="1" applyFont="1" applyFill="1" applyBorder="1" applyAlignment="1" applyProtection="1">
      <alignment horizontal="center"/>
    </xf>
    <xf numFmtId="0" fontId="24" fillId="0" borderId="0" xfId="0" applyFont="1" applyFill="1" applyBorder="1" applyAlignment="1" applyProtection="1">
      <alignment horizontal="justify" vertical="top" wrapText="1"/>
    </xf>
    <xf numFmtId="0" fontId="15" fillId="0" borderId="0" xfId="0" applyFont="1" applyFill="1" applyBorder="1" applyAlignment="1" applyProtection="1">
      <alignment horizontal="center"/>
    </xf>
    <xf numFmtId="3" fontId="58" fillId="0" borderId="0" xfId="0" applyNumberFormat="1" applyFont="1" applyFill="1" applyBorder="1" applyAlignment="1" applyProtection="1">
      <alignment horizontal="center"/>
    </xf>
    <xf numFmtId="0" fontId="21" fillId="0" borderId="0" xfId="0" applyFont="1" applyFill="1" applyBorder="1" applyProtection="1"/>
    <xf numFmtId="0" fontId="211" fillId="0" borderId="0" xfId="0" applyFont="1" applyFill="1" applyBorder="1" applyAlignment="1" applyProtection="1">
      <alignment vertical="top"/>
    </xf>
    <xf numFmtId="3" fontId="4" fillId="0" borderId="0" xfId="0" applyNumberFormat="1" applyFont="1" applyFill="1" applyBorder="1" applyAlignment="1" applyProtection="1">
      <alignment vertical="center" wrapText="1"/>
    </xf>
    <xf numFmtId="0" fontId="2" fillId="0" borderId="0" xfId="0" applyFont="1" applyFill="1" applyBorder="1" applyAlignment="1" applyProtection="1">
      <alignment horizontal="center" vertical="center" wrapText="1"/>
    </xf>
    <xf numFmtId="6" fontId="4" fillId="0" borderId="0" xfId="0" applyNumberFormat="1" applyFont="1" applyFill="1" applyBorder="1" applyAlignment="1" applyProtection="1">
      <alignment vertical="center"/>
    </xf>
    <xf numFmtId="0" fontId="4" fillId="0" borderId="0" xfId="0" applyFont="1" applyFill="1" applyBorder="1" applyAlignment="1" applyProtection="1">
      <alignment wrapText="1"/>
    </xf>
    <xf numFmtId="3" fontId="170" fillId="0" borderId="0" xfId="0" applyNumberFormat="1" applyFont="1" applyFill="1" applyBorder="1" applyAlignment="1" applyProtection="1">
      <alignment vertical="center" wrapText="1"/>
    </xf>
    <xf numFmtId="164" fontId="2" fillId="0" borderId="0" xfId="1" applyNumberFormat="1" applyFont="1" applyFill="1" applyBorder="1" applyAlignment="1" applyProtection="1">
      <alignment horizontal="right" vertical="center"/>
    </xf>
    <xf numFmtId="3" fontId="51"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top"/>
    </xf>
    <xf numFmtId="0" fontId="37" fillId="0" borderId="0" xfId="0" applyFont="1" applyFill="1" applyBorder="1" applyAlignment="1" applyProtection="1">
      <alignment vertical="top"/>
    </xf>
    <xf numFmtId="10" fontId="13" fillId="0" borderId="0" xfId="0" applyNumberFormat="1" applyFont="1" applyFill="1" applyBorder="1" applyAlignment="1" applyProtection="1">
      <alignment vertical="center"/>
    </xf>
    <xf numFmtId="10" fontId="2" fillId="0" borderId="0" xfId="0" applyNumberFormat="1" applyFont="1" applyFill="1" applyBorder="1" applyAlignment="1" applyProtection="1">
      <alignment vertical="center"/>
    </xf>
    <xf numFmtId="0" fontId="3" fillId="0" borderId="0" xfId="0" applyFont="1" applyFill="1" applyBorder="1" applyAlignment="1" applyProtection="1">
      <alignment horizontal="right"/>
    </xf>
    <xf numFmtId="166" fontId="13" fillId="0" borderId="0" xfId="0" applyNumberFormat="1" applyFont="1" applyFill="1" applyBorder="1" applyAlignment="1" applyProtection="1">
      <alignment horizontal="center" vertical="center"/>
    </xf>
    <xf numFmtId="0" fontId="13" fillId="0" borderId="0" xfId="0" applyFont="1" applyFill="1" applyBorder="1" applyProtection="1"/>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xf>
    <xf numFmtId="176" fontId="2" fillId="0" borderId="0" xfId="0" applyNumberFormat="1" applyFont="1" applyFill="1" applyBorder="1" applyAlignment="1" applyProtection="1"/>
    <xf numFmtId="176" fontId="13" fillId="0" borderId="0" xfId="0" applyNumberFormat="1" applyFont="1" applyFill="1" applyBorder="1" applyAlignment="1" applyProtection="1">
      <alignment vertical="center"/>
    </xf>
    <xf numFmtId="0" fontId="49" fillId="0" borderId="0" xfId="0" applyFont="1" applyFill="1" applyBorder="1" applyAlignment="1" applyProtection="1"/>
    <xf numFmtId="175" fontId="13" fillId="0" borderId="0" xfId="0" applyNumberFormat="1" applyFont="1" applyFill="1" applyBorder="1" applyAlignment="1" applyProtection="1">
      <alignment vertical="center"/>
    </xf>
    <xf numFmtId="0" fontId="13" fillId="0" borderId="0" xfId="0" applyFont="1" applyFill="1" applyBorder="1" applyAlignment="1" applyProtection="1">
      <alignment vertical="top" wrapText="1"/>
    </xf>
    <xf numFmtId="37" fontId="7" fillId="0" borderId="0" xfId="0" applyNumberFormat="1" applyFont="1" applyFill="1" applyBorder="1" applyAlignment="1" applyProtection="1">
      <alignment vertical="center" wrapText="1"/>
    </xf>
    <xf numFmtId="0" fontId="7" fillId="0" borderId="0" xfId="0" applyFont="1" applyFill="1" applyBorder="1" applyAlignment="1" applyProtection="1">
      <alignment horizontal="center" wrapText="1"/>
    </xf>
    <xf numFmtId="0" fontId="8"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19" fillId="0" borderId="0" xfId="0" quotePrefix="1" applyFont="1" applyFill="1" applyBorder="1" applyAlignment="1" applyProtection="1">
      <alignment vertical="center"/>
    </xf>
    <xf numFmtId="0" fontId="30"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212" fillId="0" borderId="0" xfId="0" applyFont="1" applyFill="1" applyBorder="1" applyAlignment="1" applyProtection="1">
      <alignment vertical="center" wrapText="1"/>
    </xf>
    <xf numFmtId="0" fontId="13" fillId="0" borderId="0" xfId="0" applyFont="1" applyFill="1" applyBorder="1" applyAlignment="1" applyProtection="1">
      <alignment horizontal="center" vertical="top" wrapText="1"/>
    </xf>
    <xf numFmtId="0" fontId="4" fillId="0" borderId="0" xfId="0" applyFont="1" applyFill="1" applyBorder="1" applyAlignment="1" applyProtection="1">
      <alignment vertical="center"/>
    </xf>
    <xf numFmtId="0" fontId="7" fillId="0" borderId="0" xfId="0" applyFont="1" applyFill="1" applyBorder="1" applyAlignment="1" applyProtection="1">
      <alignment vertical="top" wrapText="1"/>
    </xf>
    <xf numFmtId="0" fontId="19" fillId="0" borderId="0" xfId="0" quotePrefix="1" applyFont="1" applyFill="1" applyBorder="1" applyAlignment="1" applyProtection="1"/>
    <xf numFmtId="0" fontId="22" fillId="0" borderId="0" xfId="0"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3" fillId="0" borderId="0" xfId="0" quotePrefix="1" applyFont="1" applyFill="1" applyBorder="1" applyAlignment="1" applyProtection="1">
      <alignment horizontal="right" vertical="top"/>
    </xf>
    <xf numFmtId="0" fontId="9" fillId="0" borderId="0" xfId="0" applyFont="1" applyFill="1" applyBorder="1" applyAlignment="1" applyProtection="1">
      <alignment horizontal="right"/>
    </xf>
    <xf numFmtId="0" fontId="13" fillId="0" borderId="0" xfId="0" quotePrefix="1" applyFont="1" applyFill="1" applyBorder="1" applyAlignment="1" applyProtection="1">
      <alignment horizontal="right" vertical="center"/>
    </xf>
    <xf numFmtId="0" fontId="17" fillId="0" borderId="0" xfId="0" applyFont="1" applyFill="1" applyBorder="1" applyAlignment="1" applyProtection="1"/>
    <xf numFmtId="0" fontId="4" fillId="0" borderId="0" xfId="0" applyFont="1" applyFill="1" applyBorder="1" applyAlignment="1" applyProtection="1">
      <alignment horizontal="center"/>
    </xf>
    <xf numFmtId="3" fontId="1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top" wrapText="1"/>
    </xf>
    <xf numFmtId="0" fontId="3" fillId="0" borderId="0" xfId="0" quotePrefix="1" applyFont="1" applyFill="1" applyBorder="1" applyAlignment="1" applyProtection="1">
      <alignment horizontal="right" vertical="center"/>
    </xf>
    <xf numFmtId="0" fontId="49" fillId="0" borderId="0" xfId="0" applyFont="1" applyFill="1" applyBorder="1" applyAlignment="1" applyProtection="1">
      <alignment horizontal="center"/>
    </xf>
    <xf numFmtId="183" fontId="49" fillId="0" borderId="0" xfId="0" applyNumberFormat="1" applyFont="1" applyFill="1" applyBorder="1" applyAlignment="1" applyProtection="1">
      <alignment horizontal="center" vertical="center" wrapText="1"/>
    </xf>
    <xf numFmtId="0" fontId="81" fillId="0" borderId="0" xfId="0" applyFont="1" applyFill="1" applyBorder="1" applyProtection="1"/>
    <xf numFmtId="0" fontId="3" fillId="0" borderId="0" xfId="0" quotePrefix="1" applyFont="1" applyFill="1" applyBorder="1" applyAlignment="1" applyProtection="1">
      <alignment horizontal="center" vertical="top"/>
    </xf>
    <xf numFmtId="0" fontId="59" fillId="0" borderId="0" xfId="0" applyFont="1" applyFill="1" applyBorder="1" applyAlignment="1" applyProtection="1">
      <alignment vertical="center"/>
    </xf>
    <xf numFmtId="0" fontId="22" fillId="0" borderId="0" xfId="0" applyFont="1" applyFill="1" applyBorder="1" applyAlignment="1" applyProtection="1">
      <alignment horizontal="center" vertical="top"/>
    </xf>
    <xf numFmtId="0" fontId="12" fillId="0" borderId="0" xfId="0" applyFont="1" applyFill="1" applyBorder="1" applyAlignment="1" applyProtection="1">
      <alignment vertical="top"/>
    </xf>
    <xf numFmtId="0" fontId="49" fillId="0" borderId="0" xfId="0" applyFont="1" applyFill="1" applyBorder="1" applyAlignment="1" applyProtection="1">
      <alignment vertical="top"/>
    </xf>
    <xf numFmtId="167" fontId="49" fillId="0" borderId="0" xfId="0" applyNumberFormat="1" applyFont="1" applyFill="1" applyBorder="1" applyAlignment="1" applyProtection="1">
      <alignment vertical="top"/>
    </xf>
    <xf numFmtId="0" fontId="2" fillId="0" borderId="0" xfId="0" applyFont="1" applyFill="1" applyBorder="1" applyAlignment="1" applyProtection="1">
      <alignment horizontal="right" vertical="center"/>
    </xf>
    <xf numFmtId="0" fontId="23" fillId="0" borderId="0" xfId="0" applyFont="1" applyFill="1" applyBorder="1" applyAlignment="1" applyProtection="1">
      <alignment horizontal="right"/>
    </xf>
    <xf numFmtId="0" fontId="19" fillId="0" borderId="0" xfId="0" applyFont="1" applyFill="1" applyBorder="1" applyAlignment="1" applyProtection="1">
      <alignment horizontal="center" vertical="center"/>
    </xf>
    <xf numFmtId="0" fontId="3" fillId="0" borderId="44" xfId="0" applyFont="1" applyFill="1" applyBorder="1" applyAlignment="1" applyProtection="1">
      <alignment wrapText="1"/>
    </xf>
    <xf numFmtId="0" fontId="3" fillId="0" borderId="19" xfId="0" applyFont="1" applyFill="1" applyBorder="1" applyAlignment="1" applyProtection="1">
      <alignment wrapText="1"/>
    </xf>
    <xf numFmtId="0" fontId="3" fillId="0" borderId="39" xfId="0" applyFont="1" applyFill="1" applyBorder="1" applyAlignment="1" applyProtection="1">
      <alignment wrapText="1"/>
    </xf>
    <xf numFmtId="176" fontId="17"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protection locked="0"/>
    </xf>
    <xf numFmtId="0" fontId="3" fillId="0" borderId="42" xfId="0" applyFont="1" applyFill="1" applyBorder="1" applyAlignment="1" applyProtection="1">
      <alignment wrapText="1"/>
    </xf>
    <xf numFmtId="0" fontId="3" fillId="0" borderId="20" xfId="0" applyFont="1" applyFill="1" applyBorder="1" applyAlignment="1" applyProtection="1">
      <alignment wrapText="1"/>
    </xf>
    <xf numFmtId="0" fontId="3" fillId="0" borderId="60" xfId="0" applyFont="1" applyFill="1" applyBorder="1" applyAlignment="1" applyProtection="1">
      <alignment wrapText="1"/>
    </xf>
    <xf numFmtId="0" fontId="3" fillId="0" borderId="0" xfId="0" applyFont="1" applyFill="1"/>
    <xf numFmtId="176" fontId="13" fillId="0" borderId="0" xfId="0" applyNumberFormat="1" applyFont="1" applyFill="1" applyBorder="1" applyAlignment="1" applyProtection="1">
      <alignment horizontal="center" vertical="center"/>
      <protection locked="0"/>
    </xf>
    <xf numFmtId="0" fontId="7" fillId="0" borderId="0" xfId="0" applyFont="1" applyFill="1" applyAlignment="1" applyProtection="1">
      <alignment horizontal="center" vertical="top"/>
    </xf>
    <xf numFmtId="0" fontId="13" fillId="0" borderId="0" xfId="0" applyFont="1" applyFill="1" applyBorder="1" applyAlignment="1" applyProtection="1">
      <alignment horizontal="center" vertical="center"/>
      <protection locked="0"/>
    </xf>
    <xf numFmtId="0" fontId="9" fillId="0" borderId="0" xfId="0" quotePrefix="1" applyFont="1" applyFill="1" applyBorder="1" applyAlignment="1" applyProtection="1">
      <alignment vertical="top" wrapText="1"/>
    </xf>
    <xf numFmtId="0" fontId="13" fillId="0" borderId="0" xfId="0" quotePrefix="1" applyFont="1" applyFill="1" applyBorder="1" applyAlignment="1" applyProtection="1">
      <alignment horizontal="center" vertical="center"/>
    </xf>
    <xf numFmtId="0" fontId="213" fillId="0" borderId="0" xfId="0" applyFont="1" applyFill="1" applyBorder="1" applyAlignment="1" applyProtection="1">
      <alignment vertical="center" wrapText="1"/>
    </xf>
    <xf numFmtId="9" fontId="9" fillId="0" borderId="0" xfId="0" applyNumberFormat="1"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0" fontId="13" fillId="0" borderId="0" xfId="0" quotePrefix="1"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3" fontId="13" fillId="0" borderId="0" xfId="0" applyNumberFormat="1" applyFont="1" applyFill="1" applyBorder="1" applyAlignment="1" applyProtection="1">
      <alignment horizontal="center"/>
    </xf>
    <xf numFmtId="10" fontId="13" fillId="0" borderId="0" xfId="0" applyNumberFormat="1" applyFont="1" applyFill="1" applyBorder="1" applyAlignment="1" applyProtection="1">
      <alignment horizontal="center"/>
    </xf>
    <xf numFmtId="49" fontId="3" fillId="0" borderId="0" xfId="0" applyNumberFormat="1" applyFont="1" applyFill="1" applyBorder="1" applyAlignment="1" applyProtection="1">
      <alignment horizontal="left"/>
    </xf>
    <xf numFmtId="176" fontId="48" fillId="0" borderId="0" xfId="0" applyNumberFormat="1" applyFont="1" applyFill="1" applyBorder="1" applyAlignment="1" applyProtection="1">
      <alignment vertical="center"/>
    </xf>
    <xf numFmtId="0" fontId="49" fillId="0" borderId="0" xfId="0" applyNumberFormat="1" applyFont="1" applyFill="1" applyBorder="1" applyAlignment="1" applyProtection="1">
      <alignment vertical="top" wrapText="1"/>
    </xf>
    <xf numFmtId="49" fontId="49" fillId="0" borderId="0"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vertical="center"/>
    </xf>
    <xf numFmtId="0" fontId="13" fillId="0" borderId="0" xfId="0" quotePrefix="1" applyFont="1" applyFill="1" applyBorder="1" applyAlignment="1" applyProtection="1">
      <alignment horizontal="center" vertical="top"/>
    </xf>
    <xf numFmtId="0" fontId="172" fillId="0" borderId="0" xfId="0" applyFont="1" applyAlignment="1" applyProtection="1">
      <alignment horizontal="center"/>
    </xf>
    <xf numFmtId="0" fontId="54" fillId="0" borderId="0" xfId="0" applyFont="1" applyFill="1" applyBorder="1" applyAlignment="1" applyProtection="1"/>
    <xf numFmtId="38" fontId="3" fillId="0" borderId="0" xfId="0" applyNumberFormat="1" applyFont="1" applyFill="1" applyBorder="1" applyAlignment="1" applyProtection="1">
      <alignment horizontal="center" vertical="top"/>
    </xf>
    <xf numFmtId="0" fontId="214" fillId="0" borderId="0" xfId="0" applyFont="1" applyBorder="1" applyAlignment="1" applyProtection="1">
      <alignment vertical="center" wrapText="1"/>
    </xf>
    <xf numFmtId="0" fontId="3" fillId="0" borderId="0" xfId="0" quotePrefix="1" applyFont="1" applyFill="1" applyBorder="1" applyAlignment="1" applyProtection="1">
      <alignment horizontal="center" vertical="center"/>
    </xf>
    <xf numFmtId="0" fontId="13" fillId="0" borderId="0" xfId="0"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top"/>
    </xf>
    <xf numFmtId="0" fontId="24"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13" fillId="0" borderId="0" xfId="0" quotePrefix="1" applyFont="1" applyFill="1" applyBorder="1" applyAlignment="1" applyProtection="1">
      <alignment horizontal="right" vertical="top"/>
    </xf>
    <xf numFmtId="0" fontId="7" fillId="0" borderId="0" xfId="0" applyFont="1" applyFill="1" applyBorder="1" applyAlignment="1" applyProtection="1">
      <alignment horizontal="right" vertical="top"/>
    </xf>
    <xf numFmtId="0" fontId="23" fillId="0" borderId="0" xfId="0" applyFont="1" applyFill="1" applyBorder="1" applyProtection="1"/>
    <xf numFmtId="0" fontId="10" fillId="0" borderId="0" xfId="0" applyFont="1" applyFill="1" applyBorder="1" applyAlignment="1" applyProtection="1">
      <alignment vertical="center"/>
    </xf>
    <xf numFmtId="174" fontId="10" fillId="0" borderId="0" xfId="1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left" vertical="center"/>
    </xf>
    <xf numFmtId="0" fontId="10" fillId="0" borderId="40" xfId="0" applyFont="1" applyFill="1" applyBorder="1" applyAlignment="1" applyProtection="1">
      <alignment vertical="center" wrapText="1"/>
    </xf>
    <xf numFmtId="0" fontId="56" fillId="0" borderId="0" xfId="0" applyFont="1" applyFill="1" applyBorder="1" applyAlignment="1" applyProtection="1">
      <alignment vertical="center"/>
    </xf>
    <xf numFmtId="0" fontId="3" fillId="0" borderId="0" xfId="0" applyFont="1" applyFill="1" applyBorder="1" applyAlignment="1" applyProtection="1">
      <protection locked="0"/>
    </xf>
    <xf numFmtId="10" fontId="10" fillId="0" borderId="0" xfId="0" applyNumberFormat="1" applyFont="1" applyFill="1" applyBorder="1" applyAlignment="1" applyProtection="1">
      <alignment vertical="center"/>
    </xf>
    <xf numFmtId="0" fontId="123" fillId="0" borderId="0" xfId="0" applyFont="1" applyFill="1" applyBorder="1" applyAlignment="1" applyProtection="1">
      <alignment horizontal="left"/>
    </xf>
    <xf numFmtId="0" fontId="54" fillId="0" borderId="0" xfId="6" applyFont="1" applyFill="1" applyBorder="1" applyAlignment="1" applyProtection="1"/>
    <xf numFmtId="0" fontId="15" fillId="0" borderId="0" xfId="0" applyFont="1" applyFill="1" applyBorder="1" applyAlignment="1" applyProtection="1"/>
    <xf numFmtId="3" fontId="3" fillId="0" borderId="0" xfId="0" applyNumberFormat="1" applyFont="1" applyFill="1" applyBorder="1" applyAlignment="1" applyProtection="1">
      <alignment vertical="center"/>
    </xf>
    <xf numFmtId="0" fontId="3" fillId="0" borderId="0" xfId="0" quotePrefix="1" applyFont="1" applyFill="1" applyBorder="1" applyAlignment="1" applyProtection="1">
      <alignment horizontal="left" vertical="center"/>
    </xf>
    <xf numFmtId="0" fontId="17" fillId="0" borderId="0" xfId="0" applyFont="1" applyFill="1" applyBorder="1" applyAlignment="1" applyProtection="1">
      <alignment horizontal="center"/>
    </xf>
    <xf numFmtId="0" fontId="15" fillId="0" borderId="0" xfId="0" applyFont="1" applyFill="1" applyBorder="1" applyProtection="1"/>
    <xf numFmtId="174" fontId="3" fillId="0" borderId="0" xfId="0" applyNumberFormat="1" applyFont="1" applyFill="1" applyBorder="1" applyAlignment="1" applyProtection="1">
      <alignment vertical="center"/>
    </xf>
    <xf numFmtId="176" fontId="12" fillId="0" borderId="0" xfId="0" applyNumberFormat="1" applyFont="1" applyFill="1" applyBorder="1" applyAlignment="1" applyProtection="1">
      <alignment horizontal="left" vertical="top"/>
    </xf>
    <xf numFmtId="176" fontId="12" fillId="0" borderId="0" xfId="0" applyNumberFormat="1" applyFont="1" applyFill="1" applyBorder="1" applyAlignment="1" applyProtection="1">
      <alignment vertical="top"/>
    </xf>
    <xf numFmtId="3" fontId="3" fillId="0" borderId="0" xfId="0" applyNumberFormat="1" applyFont="1" applyFill="1" applyBorder="1" applyAlignment="1" applyProtection="1">
      <alignment vertical="center" wrapText="1"/>
    </xf>
    <xf numFmtId="0" fontId="172" fillId="0" borderId="0" xfId="0" applyFont="1" applyFill="1" applyBorder="1" applyAlignment="1" applyProtection="1">
      <alignment horizontal="center" vertical="center"/>
    </xf>
    <xf numFmtId="0" fontId="13" fillId="0" borderId="0" xfId="0" quotePrefix="1" applyFont="1" applyFill="1" applyBorder="1" applyAlignment="1" applyProtection="1">
      <alignment horizontal="left" vertical="top"/>
    </xf>
    <xf numFmtId="10" fontId="3" fillId="0" borderId="0"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top"/>
    </xf>
    <xf numFmtId="176" fontId="3" fillId="0" borderId="0" xfId="0" applyNumberFormat="1" applyFont="1" applyFill="1" applyBorder="1" applyAlignment="1" applyProtection="1">
      <alignment horizontal="left" vertical="top" wrapText="1"/>
    </xf>
    <xf numFmtId="165" fontId="3" fillId="0" borderId="0" xfId="0" applyNumberFormat="1" applyFont="1" applyFill="1" applyBorder="1" applyAlignment="1" applyProtection="1">
      <alignment horizontal="center" vertical="center"/>
    </xf>
    <xf numFmtId="3" fontId="9" fillId="0" borderId="0" xfId="0" applyNumberFormat="1" applyFont="1" applyFill="1" applyBorder="1" applyAlignment="1" applyProtection="1">
      <alignment horizontal="center" vertical="center"/>
    </xf>
    <xf numFmtId="0" fontId="9" fillId="0" borderId="0" xfId="0" quotePrefix="1" applyFont="1" applyFill="1" applyBorder="1" applyAlignment="1" applyProtection="1">
      <alignment horizontal="right" vertical="top"/>
    </xf>
    <xf numFmtId="10" fontId="9" fillId="0" borderId="0" xfId="0" applyNumberFormat="1" applyFont="1" applyFill="1" applyBorder="1" applyAlignment="1" applyProtection="1">
      <alignment horizontal="center" vertical="center"/>
    </xf>
    <xf numFmtId="0" fontId="23" fillId="0" borderId="0" xfId="0" applyFont="1" applyFill="1" applyBorder="1" applyAlignment="1" applyProtection="1">
      <alignment horizontal="center"/>
    </xf>
    <xf numFmtId="38" fontId="9" fillId="0" borderId="0" xfId="0" applyNumberFormat="1" applyFont="1" applyFill="1" applyBorder="1" applyAlignment="1" applyProtection="1">
      <alignment vertical="center"/>
    </xf>
    <xf numFmtId="0" fontId="198" fillId="0" borderId="0" xfId="0" applyFont="1" applyFill="1" applyBorder="1" applyProtection="1"/>
    <xf numFmtId="10" fontId="9" fillId="0" borderId="0" xfId="0" applyNumberFormat="1" applyFont="1" applyFill="1" applyBorder="1" applyAlignment="1" applyProtection="1">
      <alignment horizontal="left" vertical="center"/>
    </xf>
    <xf numFmtId="38" fontId="7" fillId="0" borderId="0" xfId="0" applyNumberFormat="1" applyFont="1" applyFill="1" applyBorder="1" applyAlignment="1" applyProtection="1">
      <alignment vertical="top"/>
    </xf>
    <xf numFmtId="176" fontId="3"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top"/>
    </xf>
    <xf numFmtId="176" fontId="3" fillId="0" borderId="0" xfId="0" applyNumberFormat="1" applyFont="1" applyFill="1" applyBorder="1" applyAlignment="1" applyProtection="1">
      <alignment vertical="top" wrapText="1"/>
    </xf>
    <xf numFmtId="3" fontId="13" fillId="0" borderId="0" xfId="0" applyNumberFormat="1" applyFont="1" applyFill="1" applyBorder="1" applyAlignment="1" applyProtection="1">
      <alignment horizontal="center" vertical="top" wrapText="1"/>
    </xf>
    <xf numFmtId="10" fontId="3" fillId="0" borderId="0" xfId="0" applyNumberFormat="1" applyFont="1" applyFill="1" applyBorder="1" applyAlignment="1" applyProtection="1">
      <alignment horizontal="center" vertical="center" wrapText="1"/>
    </xf>
    <xf numFmtId="0" fontId="16" fillId="0" borderId="0" xfId="0" applyFont="1" applyFill="1" applyBorder="1" applyAlignment="1" applyProtection="1">
      <alignment vertical="center"/>
    </xf>
    <xf numFmtId="3" fontId="3" fillId="0" borderId="0"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xf>
    <xf numFmtId="0" fontId="13" fillId="0" borderId="0" xfId="0" applyFont="1" applyFill="1" applyBorder="1" applyAlignment="1" applyProtection="1">
      <alignment wrapText="1"/>
    </xf>
    <xf numFmtId="3" fontId="3" fillId="0" borderId="0" xfId="0" applyNumberFormat="1" applyFont="1" applyFill="1" applyBorder="1" applyAlignment="1" applyProtection="1">
      <alignment horizontal="left" vertical="center"/>
    </xf>
    <xf numFmtId="0" fontId="13" fillId="0" borderId="0" xfId="0" applyFont="1" applyFill="1" applyBorder="1" applyAlignment="1" applyProtection="1">
      <alignment horizontal="right"/>
    </xf>
    <xf numFmtId="38" fontId="2" fillId="0" borderId="0" xfId="0" applyNumberFormat="1" applyFont="1" applyFill="1" applyBorder="1" applyAlignment="1" applyProtection="1">
      <alignment horizontal="center" vertical="top" wrapText="1"/>
    </xf>
    <xf numFmtId="0" fontId="25" fillId="0" borderId="0" xfId="0" applyFont="1" applyFill="1" applyBorder="1" applyAlignment="1" applyProtection="1">
      <alignment vertical="center"/>
    </xf>
    <xf numFmtId="38" fontId="8" fillId="0" borderId="0" xfId="0" applyNumberFormat="1" applyFont="1" applyFill="1" applyBorder="1" applyAlignment="1" applyProtection="1">
      <alignment horizontal="center" vertical="center"/>
    </xf>
    <xf numFmtId="0" fontId="28" fillId="0" borderId="0" xfId="0" applyFont="1" applyFill="1" applyBorder="1" applyAlignment="1" applyProtection="1">
      <alignment vertical="center" wrapText="1"/>
    </xf>
    <xf numFmtId="0" fontId="82" fillId="0" borderId="0" xfId="0" applyFont="1" applyFill="1" applyAlignment="1" applyProtection="1">
      <alignment horizontal="center" vertical="center"/>
    </xf>
    <xf numFmtId="0" fontId="81" fillId="0" borderId="0" xfId="0" applyFont="1" applyFill="1" applyAlignment="1" applyProtection="1">
      <alignment horizontal="center" vertical="center"/>
    </xf>
    <xf numFmtId="0" fontId="4" fillId="0" borderId="0" xfId="0" applyFont="1" applyFill="1" applyAlignment="1" applyProtection="1">
      <alignment vertical="center" wrapText="1"/>
    </xf>
    <xf numFmtId="0" fontId="52" fillId="0" borderId="0" xfId="0" applyFont="1" applyFill="1" applyBorder="1" applyAlignment="1" applyProtection="1">
      <alignment horizontal="justify" vertical="top" wrapText="1"/>
    </xf>
    <xf numFmtId="0" fontId="81" fillId="0" borderId="0" xfId="0"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42" xfId="0" applyFont="1" applyFill="1" applyBorder="1" applyAlignment="1" applyProtection="1">
      <alignment horizontal="right" vertical="top" wrapText="1"/>
    </xf>
    <xf numFmtId="0" fontId="3" fillId="0" borderId="60" xfId="0" applyFont="1" applyFill="1" applyBorder="1" applyAlignment="1" applyProtection="1">
      <alignment horizontal="right" vertical="top" wrapText="1"/>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48" t="s">
        <v>1015</v>
      </c>
    </row>
    <row r="2" spans="1:6" ht="15" customHeight="1">
      <c r="A2" s="1149" t="str">
        <f>'Part I-Project Information'!F24</f>
        <v>Wheat Street Tower</v>
      </c>
    </row>
    <row r="3" spans="1:6" ht="15" customHeight="1">
      <c r="A3" s="1149" t="str">
        <f>CONCATENATE('Part I-Project Information'!F28,", ", 'Part I-Project Information'!J29," County")</f>
        <v>Atlanta, Fulton County</v>
      </c>
    </row>
    <row r="4" spans="1:6" ht="12" customHeight="1"/>
    <row r="5" spans="1:6" ht="111" customHeight="1">
      <c r="A5" s="2463" t="s">
        <v>4371</v>
      </c>
      <c r="B5" s="1837" t="s">
        <v>3067</v>
      </c>
      <c r="C5" s="1837"/>
      <c r="D5" s="1837"/>
      <c r="E5" s="1837"/>
      <c r="F5" s="1837"/>
    </row>
    <row r="6" spans="1:6" ht="6.6" customHeight="1">
      <c r="A6" s="2463"/>
      <c r="B6" s="1837"/>
      <c r="C6" s="1837"/>
      <c r="D6" s="1837"/>
      <c r="E6" s="1837"/>
      <c r="F6" s="1837"/>
    </row>
    <row r="7" spans="1:6" ht="93" customHeight="1">
      <c r="A7" s="2463"/>
      <c r="B7" s="1837"/>
      <c r="C7" s="1837"/>
      <c r="D7" s="1837"/>
      <c r="E7" s="1837"/>
      <c r="F7" s="1837"/>
    </row>
    <row r="8" spans="1:6" ht="6.6" customHeight="1">
      <c r="A8" s="2463"/>
    </row>
    <row r="9" spans="1:6" ht="93" customHeight="1">
      <c r="A9" s="2463"/>
    </row>
    <row r="10" spans="1:6" ht="6.6" customHeight="1">
      <c r="A10" s="2463"/>
    </row>
    <row r="11" spans="1:6" ht="93" customHeight="1">
      <c r="A11" s="2463"/>
    </row>
    <row r="12" spans="1:6" ht="6.6" customHeight="1">
      <c r="A12" s="2463"/>
    </row>
    <row r="13" spans="1:6" ht="93" customHeight="1">
      <c r="A13" s="2463"/>
    </row>
    <row r="14" spans="1:6" ht="6.6" customHeight="1">
      <c r="A14" s="2463"/>
    </row>
    <row r="15" spans="1:6" ht="93" customHeight="1">
      <c r="A15" s="2463"/>
    </row>
    <row r="16" spans="1:6" ht="6.6" customHeight="1">
      <c r="A16" s="2463"/>
    </row>
    <row r="17" spans="1:1" ht="93" customHeight="1">
      <c r="A17" s="2463"/>
    </row>
    <row r="18" spans="1:1" ht="6.6" customHeight="1">
      <c r="A18" s="2463"/>
    </row>
    <row r="19" spans="1:1" ht="93" customHeight="1">
      <c r="A19" s="2463"/>
    </row>
    <row r="20" spans="1:1" ht="6.6" customHeight="1">
      <c r="A20" s="2463"/>
    </row>
    <row r="21" spans="1:1" ht="93" customHeight="1">
      <c r="A21" s="2463"/>
    </row>
    <row r="22" spans="1:1" ht="6.6" customHeight="1">
      <c r="A22" s="2463"/>
    </row>
    <row r="23" spans="1:1" ht="93" customHeight="1">
      <c r="A23" s="2463"/>
    </row>
  </sheetData>
  <sheetProtection algorithmName="SHA-512" hashValue="Y4r+z2DfqIF0lTDK0lNHxOf+9W8Yf0lkQMj8IxJYQaa/WsdlMjILPaoQFTgo5BCug2ixym0GOpAYCVjVAF7+fQ==" saltValue="FDR57MF5NJGAle9XZtZOS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87" zoomScale="120" zoomScaleNormal="120" workbookViewId="0">
      <selection activeCell="A187"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7" customWidth="1"/>
    <col min="173" max="177" width="11.28515625" style="507" customWidth="1"/>
    <col min="178" max="192" width="9.140625" style="507" customWidth="1"/>
    <col min="193" max="193" width="10.140625" style="507" customWidth="1"/>
    <col min="194" max="197" width="10" style="507" customWidth="1"/>
    <col min="198" max="201" width="9.140625" style="507" customWidth="1"/>
    <col min="202" max="202" width="9.140625" style="516" customWidth="1"/>
    <col min="203" max="206" width="9.140625" style="507" customWidth="1"/>
    <col min="207" max="217" width="9.140625" style="516" customWidth="1"/>
    <col min="218" max="227" width="11.5703125" style="516" customWidth="1"/>
    <col min="228" max="238" width="9.140625" style="516" customWidth="1"/>
    <col min="239" max="244" width="9.140625" style="507" customWidth="1"/>
    <col min="245" max="245" width="9.140625" style="520" customWidth="1"/>
    <col min="246" max="260" width="9.140625" style="507" customWidth="1"/>
    <col min="261" max="262" width="9.140625" style="520" customWidth="1"/>
    <col min="263" max="269" width="10.28515625" style="507" customWidth="1"/>
    <col min="270" max="272" width="9.140625" style="507"/>
    <col min="273" max="273" width="10.42578125" style="507" customWidth="1"/>
    <col min="274" max="277" width="10.140625" style="507" customWidth="1"/>
    <col min="278" max="279" width="9.140625" style="158"/>
    <col min="280" max="296" width="9.140625" style="507"/>
    <col min="297" max="16384" width="9.140625" style="87"/>
  </cols>
  <sheetData>
    <row r="1" spans="1:296" s="96" customFormat="1" ht="13.9" customHeight="1">
      <c r="A1" s="1945" t="str">
        <f>CONCATENATE("PART SIX - PROJECTED REVENUES &amp; EXPENSES","  -  ",'Part I-Project Information'!$O$4," ",'Part I-Project Information'!$F$24,", ",'Part I-Project Information'!F28,", ",'Part I-Project Information'!J29," County")</f>
        <v>PART SIX - PROJECTED REVENUES &amp; EXPENSES  -  2016-524 Wheat Street Tower, Atlanta, Fulton County</v>
      </c>
      <c r="B1" s="1946"/>
      <c r="C1" s="1946"/>
      <c r="D1" s="1946"/>
      <c r="E1" s="1946"/>
      <c r="F1" s="1946"/>
      <c r="G1" s="1946"/>
      <c r="H1" s="1946"/>
      <c r="I1" s="1946"/>
      <c r="J1" s="1946"/>
      <c r="K1" s="1946"/>
      <c r="L1" s="1946"/>
      <c r="M1" s="1946"/>
      <c r="N1" s="1946"/>
      <c r="O1" s="1946"/>
      <c r="P1" s="1947"/>
      <c r="U1" s="2065" t="str">
        <f>A1</f>
        <v>PART SIX - PROJECTED REVENUES &amp; EXPENSES  -  2016-524 Wheat Street Tower, Atlanta, Fulton County</v>
      </c>
      <c r="V1" s="206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10"/>
      <c r="EY1" s="510"/>
      <c r="EZ1" s="510"/>
      <c r="FA1" s="510"/>
      <c r="FB1" s="510"/>
      <c r="FC1" s="510"/>
      <c r="FD1" s="510"/>
      <c r="FE1" s="510"/>
      <c r="FF1" s="510"/>
      <c r="FG1" s="510"/>
      <c r="FH1" s="510"/>
      <c r="FI1" s="510"/>
      <c r="FJ1" s="510"/>
      <c r="FK1" s="510"/>
      <c r="FL1" s="510"/>
      <c r="FM1" s="510"/>
      <c r="FN1" s="510"/>
      <c r="FO1" s="510"/>
      <c r="FP1" s="510"/>
      <c r="FQ1" s="510"/>
      <c r="FR1" s="510"/>
      <c r="FS1" s="510"/>
      <c r="FT1" s="510"/>
      <c r="FU1" s="510"/>
      <c r="FV1" s="510"/>
      <c r="FW1" s="510"/>
      <c r="FX1" s="510"/>
      <c r="FY1" s="510"/>
      <c r="FZ1" s="510"/>
      <c r="GA1" s="510"/>
      <c r="GB1" s="510"/>
      <c r="GC1" s="510"/>
      <c r="GD1" s="510"/>
      <c r="GE1" s="510"/>
      <c r="GF1" s="510"/>
      <c r="GG1" s="510"/>
      <c r="GH1" s="510"/>
      <c r="GI1" s="510"/>
      <c r="GJ1" s="510"/>
      <c r="GK1" s="510"/>
      <c r="GL1" s="510"/>
      <c r="GM1" s="510"/>
      <c r="GN1" s="510"/>
      <c r="GO1" s="510"/>
      <c r="GP1" s="510"/>
      <c r="GQ1" s="510"/>
      <c r="GR1" s="510"/>
      <c r="GS1" s="510"/>
      <c r="GT1" s="510"/>
      <c r="GU1" s="510"/>
      <c r="GV1" s="510"/>
      <c r="GW1" s="510"/>
      <c r="GX1" s="510"/>
      <c r="GY1" s="510"/>
      <c r="GZ1" s="510"/>
      <c r="HA1" s="510"/>
      <c r="HB1" s="510"/>
      <c r="HC1" s="510"/>
      <c r="HD1" s="510"/>
      <c r="HE1" s="510"/>
      <c r="HF1" s="510"/>
      <c r="HG1" s="510"/>
      <c r="HH1" s="510"/>
      <c r="HI1" s="510"/>
      <c r="HJ1" s="510"/>
      <c r="HK1" s="510"/>
      <c r="HL1" s="510"/>
      <c r="HM1" s="509"/>
      <c r="HN1" s="509"/>
      <c r="HO1" s="510"/>
      <c r="HP1" s="510"/>
      <c r="HQ1" s="510"/>
      <c r="HR1" s="509"/>
      <c r="HS1" s="509"/>
      <c r="HT1" s="509"/>
      <c r="HU1" s="509"/>
      <c r="HV1" s="511"/>
      <c r="HW1" s="509"/>
      <c r="HX1" s="509"/>
      <c r="HY1" s="509"/>
      <c r="HZ1" s="509"/>
      <c r="IA1" s="511"/>
      <c r="IB1" s="509"/>
      <c r="IC1" s="509"/>
      <c r="ID1" s="509"/>
      <c r="IE1" s="509"/>
      <c r="IF1" s="509"/>
      <c r="IG1" s="509"/>
      <c r="IH1" s="509"/>
      <c r="II1" s="509"/>
      <c r="IJ1" s="509"/>
      <c r="IK1" s="509"/>
      <c r="IL1" s="509"/>
      <c r="IM1" s="509"/>
      <c r="IN1" s="509"/>
      <c r="IO1" s="509"/>
      <c r="IP1" s="509"/>
      <c r="IQ1" s="509"/>
      <c r="IR1" s="509"/>
      <c r="IS1" s="509"/>
      <c r="IT1" s="509"/>
      <c r="IU1" s="509"/>
      <c r="IV1" s="509"/>
      <c r="IW1" s="509"/>
      <c r="IX1" s="509"/>
      <c r="IY1" s="509"/>
      <c r="IZ1" s="509"/>
      <c r="JA1" s="509"/>
      <c r="JB1" s="509"/>
      <c r="JC1" s="509"/>
      <c r="JD1" s="509"/>
      <c r="JE1" s="509"/>
      <c r="JF1" s="509"/>
      <c r="JG1" s="509"/>
      <c r="JH1" s="509"/>
      <c r="JI1" s="509"/>
      <c r="JJ1" s="509"/>
      <c r="JK1" s="509"/>
      <c r="JL1" s="509"/>
      <c r="JM1" s="509"/>
      <c r="JN1" s="509"/>
      <c r="JO1" s="509"/>
      <c r="JP1" s="509"/>
      <c r="JQ1" s="509"/>
      <c r="JR1" s="100"/>
      <c r="JS1" s="100"/>
      <c r="JT1" s="509"/>
      <c r="JU1" s="509"/>
      <c r="JV1" s="509"/>
      <c r="JW1" s="509"/>
      <c r="JX1" s="509"/>
      <c r="JY1" s="509"/>
      <c r="JZ1" s="509"/>
      <c r="KA1" s="509"/>
      <c r="KB1" s="509"/>
      <c r="KC1" s="509"/>
      <c r="KD1" s="509"/>
      <c r="KE1" s="509"/>
      <c r="KF1" s="509"/>
      <c r="KG1" s="509"/>
      <c r="KH1" s="509"/>
      <c r="KI1" s="509"/>
      <c r="KJ1" s="509"/>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4"/>
      <c r="EX2" s="513"/>
      <c r="EY2" s="513"/>
      <c r="EZ2" s="513"/>
      <c r="FA2" s="513"/>
      <c r="FB2" s="513"/>
      <c r="FC2" s="513"/>
      <c r="FD2" s="513"/>
      <c r="FE2" s="513"/>
      <c r="FF2" s="513"/>
      <c r="FG2" s="513"/>
      <c r="FH2" s="513"/>
      <c r="FI2" s="513"/>
      <c r="FJ2" s="513"/>
      <c r="FK2" s="513"/>
      <c r="FL2" s="513"/>
      <c r="FM2" s="513"/>
      <c r="FN2" s="513"/>
      <c r="FO2" s="513"/>
      <c r="FP2" s="513"/>
      <c r="FQ2" s="513"/>
      <c r="FR2" s="513"/>
      <c r="FS2" s="513"/>
      <c r="FT2" s="513"/>
      <c r="FU2" s="513"/>
      <c r="FV2" s="513"/>
      <c r="FW2" s="513"/>
      <c r="FX2" s="513"/>
      <c r="FY2" s="513"/>
      <c r="FZ2" s="513"/>
      <c r="GA2" s="513"/>
      <c r="GB2" s="513"/>
      <c r="GC2" s="513"/>
      <c r="GD2" s="513"/>
      <c r="GE2" s="513"/>
      <c r="GF2" s="513"/>
      <c r="GG2" s="513"/>
      <c r="GH2" s="513"/>
      <c r="GI2" s="513"/>
      <c r="GJ2" s="513"/>
      <c r="GK2" s="513"/>
      <c r="GL2" s="513"/>
      <c r="GM2" s="513"/>
      <c r="GN2" s="513"/>
      <c r="GO2" s="513"/>
      <c r="GP2" s="513"/>
      <c r="GQ2" s="513"/>
      <c r="GR2" s="513"/>
      <c r="GS2" s="513"/>
      <c r="GT2" s="513"/>
      <c r="GU2" s="513"/>
      <c r="GV2" s="513"/>
      <c r="GW2" s="513"/>
      <c r="GX2" s="513"/>
      <c r="GY2" s="513"/>
      <c r="GZ2" s="513"/>
      <c r="HA2" s="513"/>
      <c r="HB2" s="513"/>
      <c r="HC2" s="513"/>
      <c r="HD2" s="513"/>
      <c r="HE2" s="513"/>
      <c r="HF2" s="513"/>
      <c r="HG2" s="513"/>
      <c r="HH2" s="513"/>
      <c r="HI2" s="513"/>
      <c r="HJ2" s="513"/>
      <c r="HK2" s="513"/>
      <c r="HL2" s="513"/>
      <c r="HM2" s="513"/>
      <c r="HN2" s="513"/>
      <c r="HO2" s="513"/>
      <c r="HP2" s="513"/>
      <c r="HQ2" s="513"/>
      <c r="HR2" s="513"/>
      <c r="HS2" s="513"/>
      <c r="HT2" s="512"/>
      <c r="HU2" s="512"/>
      <c r="HV2" s="512"/>
      <c r="HW2" s="512"/>
      <c r="HX2" s="512"/>
      <c r="HY2" s="512"/>
      <c r="HZ2" s="512"/>
      <c r="IA2" s="512"/>
      <c r="IB2" s="512"/>
      <c r="IC2" s="512"/>
      <c r="ID2" s="507"/>
      <c r="II2" s="512"/>
      <c r="IJ2" s="512"/>
      <c r="IK2" s="512"/>
      <c r="IL2" s="512"/>
      <c r="IM2" s="512"/>
      <c r="IN2" s="512"/>
      <c r="IO2" s="512"/>
      <c r="IP2" s="512"/>
      <c r="IQ2" s="512"/>
      <c r="IR2" s="512"/>
      <c r="IS2" s="512"/>
      <c r="IT2" s="512"/>
      <c r="IU2" s="512"/>
      <c r="IV2" s="512"/>
      <c r="IW2" s="512"/>
      <c r="IX2" s="512"/>
      <c r="IY2" s="512"/>
      <c r="IZ2" s="512"/>
      <c r="JA2" s="512"/>
      <c r="JB2" s="512"/>
    </row>
    <row r="3" spans="1:296" s="96" customFormat="1" ht="12.6" customHeight="1">
      <c r="A3" s="4" t="s">
        <v>640</v>
      </c>
      <c r="B3" s="4" t="s">
        <v>2449</v>
      </c>
      <c r="C3" s="1"/>
      <c r="D3" s="1322"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5"/>
      <c r="EX3" s="515"/>
      <c r="EY3" s="515"/>
      <c r="EZ3" s="515"/>
      <c r="FA3" s="515"/>
      <c r="FB3" s="513" t="s">
        <v>503</v>
      </c>
      <c r="FC3" s="513" t="s">
        <v>2525</v>
      </c>
      <c r="FD3" s="513" t="s">
        <v>2526</v>
      </c>
      <c r="FE3" s="513" t="s">
        <v>2527</v>
      </c>
      <c r="FF3" s="513" t="s">
        <v>2528</v>
      </c>
      <c r="FG3" s="513" t="s">
        <v>503</v>
      </c>
      <c r="FH3" s="513" t="s">
        <v>2525</v>
      </c>
      <c r="FI3" s="513" t="s">
        <v>2526</v>
      </c>
      <c r="FJ3" s="513" t="s">
        <v>2527</v>
      </c>
      <c r="FK3" s="513" t="s">
        <v>2528</v>
      </c>
      <c r="FL3" s="515"/>
      <c r="FM3" s="515"/>
      <c r="FN3" s="515"/>
      <c r="FO3" s="515"/>
      <c r="FP3" s="515"/>
      <c r="FQ3" s="515"/>
      <c r="FR3" s="515"/>
      <c r="FS3" s="515"/>
      <c r="FT3" s="515"/>
      <c r="FU3" s="515"/>
      <c r="FV3" s="513" t="s">
        <v>503</v>
      </c>
      <c r="FW3" s="513" t="s">
        <v>2525</v>
      </c>
      <c r="FX3" s="513" t="s">
        <v>2526</v>
      </c>
      <c r="FY3" s="513" t="s">
        <v>2527</v>
      </c>
      <c r="FZ3" s="513" t="s">
        <v>2528</v>
      </c>
      <c r="GA3" s="513" t="s">
        <v>503</v>
      </c>
      <c r="GB3" s="513" t="s">
        <v>2525</v>
      </c>
      <c r="GC3" s="513" t="s">
        <v>2526</v>
      </c>
      <c r="GD3" s="513" t="s">
        <v>2527</v>
      </c>
      <c r="GE3" s="513" t="s">
        <v>2528</v>
      </c>
      <c r="GF3" s="513" t="s">
        <v>503</v>
      </c>
      <c r="GG3" s="513" t="s">
        <v>2525</v>
      </c>
      <c r="GH3" s="513" t="s">
        <v>2526</v>
      </c>
      <c r="GI3" s="513" t="s">
        <v>2527</v>
      </c>
      <c r="GJ3" s="513" t="s">
        <v>2528</v>
      </c>
      <c r="GK3" s="513" t="s">
        <v>503</v>
      </c>
      <c r="GL3" s="513" t="s">
        <v>2525</v>
      </c>
      <c r="GM3" s="513" t="s">
        <v>2526</v>
      </c>
      <c r="GN3" s="513" t="s">
        <v>2527</v>
      </c>
      <c r="GO3" s="513" t="s">
        <v>2528</v>
      </c>
      <c r="GP3" s="513" t="s">
        <v>503</v>
      </c>
      <c r="GQ3" s="513" t="s">
        <v>2525</v>
      </c>
      <c r="GR3" s="513" t="s">
        <v>2526</v>
      </c>
      <c r="GS3" s="513" t="s">
        <v>2527</v>
      </c>
      <c r="GT3" s="513" t="s">
        <v>2528</v>
      </c>
      <c r="GU3" s="513" t="s">
        <v>503</v>
      </c>
      <c r="GV3" s="513" t="s">
        <v>2525</v>
      </c>
      <c r="GW3" s="513" t="s">
        <v>2526</v>
      </c>
      <c r="GX3" s="513" t="s">
        <v>2527</v>
      </c>
      <c r="GY3" s="513" t="s">
        <v>2528</v>
      </c>
      <c r="GZ3" s="513" t="s">
        <v>503</v>
      </c>
      <c r="HA3" s="513" t="s">
        <v>2525</v>
      </c>
      <c r="HB3" s="513" t="s">
        <v>2526</v>
      </c>
      <c r="HC3" s="513" t="s">
        <v>2527</v>
      </c>
      <c r="HD3" s="513" t="s">
        <v>2528</v>
      </c>
      <c r="HE3" s="513" t="s">
        <v>503</v>
      </c>
      <c r="HF3" s="513" t="s">
        <v>2525</v>
      </c>
      <c r="HG3" s="513" t="s">
        <v>2526</v>
      </c>
      <c r="HH3" s="513" t="s">
        <v>2527</v>
      </c>
      <c r="HI3" s="513" t="s">
        <v>2528</v>
      </c>
      <c r="HJ3" s="513" t="s">
        <v>503</v>
      </c>
      <c r="HK3" s="513" t="s">
        <v>2525</v>
      </c>
      <c r="HL3" s="513" t="s">
        <v>2526</v>
      </c>
      <c r="HM3" s="513" t="s">
        <v>2527</v>
      </c>
      <c r="HN3" s="513" t="s">
        <v>2528</v>
      </c>
      <c r="HO3" s="513" t="s">
        <v>503</v>
      </c>
      <c r="HP3" s="513" t="s">
        <v>2525</v>
      </c>
      <c r="HQ3" s="513" t="s">
        <v>2526</v>
      </c>
      <c r="HR3" s="513" t="s">
        <v>2527</v>
      </c>
      <c r="HS3" s="513" t="s">
        <v>2528</v>
      </c>
      <c r="HT3" s="513" t="s">
        <v>503</v>
      </c>
      <c r="HU3" s="513" t="s">
        <v>2525</v>
      </c>
      <c r="HV3" s="513" t="s">
        <v>2526</v>
      </c>
      <c r="HW3" s="513" t="s">
        <v>2527</v>
      </c>
      <c r="HX3" s="513" t="s">
        <v>2528</v>
      </c>
      <c r="HY3" s="513" t="s">
        <v>503</v>
      </c>
      <c r="HZ3" s="513" t="s">
        <v>2525</v>
      </c>
      <c r="IA3" s="513" t="s">
        <v>2526</v>
      </c>
      <c r="IB3" s="513" t="s">
        <v>2527</v>
      </c>
      <c r="IC3" s="513" t="s">
        <v>2528</v>
      </c>
      <c r="ID3" s="509"/>
      <c r="IE3" s="509"/>
      <c r="IF3" s="509"/>
      <c r="IG3" s="509"/>
      <c r="IH3" s="509"/>
      <c r="II3" s="514"/>
      <c r="IJ3" s="514"/>
      <c r="IK3" s="514"/>
      <c r="IL3" s="514"/>
      <c r="IM3" s="514"/>
      <c r="IN3" s="514"/>
      <c r="IO3" s="514"/>
      <c r="IP3" s="514"/>
      <c r="IQ3" s="514"/>
      <c r="IR3" s="514"/>
      <c r="IS3" s="514"/>
      <c r="IT3" s="514"/>
      <c r="IU3" s="514"/>
      <c r="IV3" s="514"/>
      <c r="IW3" s="514"/>
      <c r="IX3" s="514"/>
      <c r="IY3" s="514"/>
      <c r="IZ3" s="514"/>
      <c r="JA3" s="514"/>
      <c r="JB3" s="514"/>
      <c r="JC3" s="2066" t="s">
        <v>3664</v>
      </c>
      <c r="JD3" s="2066" t="s">
        <v>3665</v>
      </c>
      <c r="JE3" s="2066" t="s">
        <v>3666</v>
      </c>
      <c r="JF3" s="2066" t="s">
        <v>3667</v>
      </c>
      <c r="JG3" s="2066" t="s">
        <v>3668</v>
      </c>
      <c r="JH3" s="509"/>
      <c r="JI3" s="509"/>
      <c r="JJ3" s="509"/>
      <c r="JK3" s="509"/>
      <c r="JL3" s="509"/>
      <c r="JM3" s="509"/>
      <c r="JN3" s="509"/>
      <c r="JO3" s="509"/>
      <c r="JP3" s="509"/>
      <c r="JQ3" s="509"/>
      <c r="JR3" s="100"/>
      <c r="JS3" s="100"/>
      <c r="JT3" s="509"/>
      <c r="JU3" s="509"/>
      <c r="JV3" s="509"/>
      <c r="JW3" s="509"/>
      <c r="JX3" s="509"/>
      <c r="JY3" s="509"/>
      <c r="JZ3" s="509"/>
      <c r="KA3" s="509"/>
      <c r="KB3" s="509"/>
      <c r="KC3" s="509"/>
      <c r="KD3" s="509"/>
      <c r="KE3" s="509"/>
      <c r="KF3" s="509"/>
      <c r="KG3" s="509"/>
      <c r="KH3" s="509"/>
      <c r="KI3" s="509"/>
      <c r="KJ3" s="509"/>
    </row>
    <row r="4" spans="1:296" s="96" customFormat="1" ht="3" customHeight="1" thickBot="1">
      <c r="B4" s="4"/>
      <c r="C4" s="1"/>
      <c r="D4" s="4"/>
      <c r="E4" s="1"/>
      <c r="F4" s="1"/>
      <c r="G4" s="1"/>
      <c r="I4" s="1"/>
      <c r="J4" s="1"/>
      <c r="K4" s="1"/>
      <c r="L4" s="1"/>
      <c r="M4" s="1"/>
      <c r="P4" s="2058" t="s">
        <v>4158</v>
      </c>
      <c r="Q4" s="1811"/>
      <c r="R4" s="468"/>
      <c r="S4" s="468"/>
      <c r="T4" s="468"/>
      <c r="U4" s="468"/>
      <c r="V4" s="469"/>
      <c r="W4" s="2067" t="s">
        <v>952</v>
      </c>
      <c r="X4" s="2067" t="s">
        <v>786</v>
      </c>
      <c r="Y4" s="2067" t="s">
        <v>787</v>
      </c>
      <c r="Z4" s="2067" t="s">
        <v>788</v>
      </c>
      <c r="AA4" s="2067" t="s">
        <v>789</v>
      </c>
      <c r="AB4" s="2067" t="s">
        <v>953</v>
      </c>
      <c r="AC4" s="2067" t="s">
        <v>2390</v>
      </c>
      <c r="AD4" s="2067" t="s">
        <v>2391</v>
      </c>
      <c r="AE4" s="2067" t="s">
        <v>2392</v>
      </c>
      <c r="AF4" s="2067" t="s">
        <v>2393</v>
      </c>
      <c r="AG4" s="2067" t="s">
        <v>954</v>
      </c>
      <c r="AH4" s="2067" t="s">
        <v>2394</v>
      </c>
      <c r="AI4" s="2067" t="s">
        <v>2395</v>
      </c>
      <c r="AJ4" s="2067" t="s">
        <v>2396</v>
      </c>
      <c r="AK4" s="2067" t="s">
        <v>2397</v>
      </c>
      <c r="AL4" s="2067" t="s">
        <v>131</v>
      </c>
      <c r="AM4" s="2067" t="s">
        <v>2398</v>
      </c>
      <c r="AN4" s="2067" t="s">
        <v>2399</v>
      </c>
      <c r="AO4" s="2067" t="s">
        <v>2400</v>
      </c>
      <c r="AP4" s="2067" t="s">
        <v>1190</v>
      </c>
      <c r="AQ4" s="2067" t="s">
        <v>575</v>
      </c>
      <c r="AR4" s="2067" t="s">
        <v>576</v>
      </c>
      <c r="AS4" s="2067" t="s">
        <v>598</v>
      </c>
      <c r="AT4" s="2067" t="s">
        <v>599</v>
      </c>
      <c r="AU4" s="2067" t="s">
        <v>600</v>
      </c>
      <c r="AV4" s="2067" t="s">
        <v>601</v>
      </c>
      <c r="AW4" s="2067" t="s">
        <v>602</v>
      </c>
      <c r="AX4" s="2067" t="s">
        <v>603</v>
      </c>
      <c r="AY4" s="2067" t="s">
        <v>604</v>
      </c>
      <c r="AZ4" s="2067" t="s">
        <v>605</v>
      </c>
      <c r="BA4" s="2067" t="s">
        <v>606</v>
      </c>
      <c r="BB4" s="2067" t="s">
        <v>607</v>
      </c>
      <c r="BC4" s="2067" t="s">
        <v>964</v>
      </c>
      <c r="BD4" s="2067" t="s">
        <v>965</v>
      </c>
      <c r="BE4" s="2067" t="s">
        <v>966</v>
      </c>
      <c r="BF4" s="2067" t="s">
        <v>514</v>
      </c>
      <c r="BG4" s="2067" t="s">
        <v>515</v>
      </c>
      <c r="BH4" s="2067" t="s">
        <v>516</v>
      </c>
      <c r="BI4" s="2067" t="s">
        <v>517</v>
      </c>
      <c r="BJ4" s="2067" t="s">
        <v>518</v>
      </c>
      <c r="BK4" s="2067" t="s">
        <v>913</v>
      </c>
      <c r="BL4" s="2067" t="s">
        <v>914</v>
      </c>
      <c r="BM4" s="2067" t="s">
        <v>915</v>
      </c>
      <c r="BN4" s="2067" t="s">
        <v>916</v>
      </c>
      <c r="BO4" s="2067" t="s">
        <v>917</v>
      </c>
      <c r="BP4" s="2067" t="s">
        <v>918</v>
      </c>
      <c r="BQ4" s="2067" t="s">
        <v>919</v>
      </c>
      <c r="BR4" s="2067" t="s">
        <v>920</v>
      </c>
      <c r="BS4" s="2067" t="s">
        <v>921</v>
      </c>
      <c r="BT4" s="2067" t="s">
        <v>922</v>
      </c>
      <c r="BU4" s="2067" t="s">
        <v>2515</v>
      </c>
      <c r="BV4" s="2067" t="s">
        <v>2516</v>
      </c>
      <c r="BW4" s="2067" t="s">
        <v>2517</v>
      </c>
      <c r="BX4" s="2067" t="s">
        <v>2518</v>
      </c>
      <c r="BY4" s="2067" t="s">
        <v>2519</v>
      </c>
      <c r="BZ4" s="2067" t="s">
        <v>119</v>
      </c>
      <c r="CA4" s="2067" t="s">
        <v>1193</v>
      </c>
      <c r="CB4" s="2067" t="s">
        <v>1194</v>
      </c>
      <c r="CC4" s="2067" t="s">
        <v>1259</v>
      </c>
      <c r="CD4" s="2067" t="s">
        <v>1260</v>
      </c>
      <c r="CE4" s="2068" t="s">
        <v>134</v>
      </c>
      <c r="CF4" s="2068" t="s">
        <v>1261</v>
      </c>
      <c r="CG4" s="2068" t="s">
        <v>1262</v>
      </c>
      <c r="CH4" s="2068" t="s">
        <v>1263</v>
      </c>
      <c r="CI4" s="2068" t="s">
        <v>1264</v>
      </c>
      <c r="CJ4" s="2068" t="s">
        <v>133</v>
      </c>
      <c r="CK4" s="2068" t="s">
        <v>944</v>
      </c>
      <c r="CL4" s="2068" t="s">
        <v>945</v>
      </c>
      <c r="CM4" s="2068" t="s">
        <v>946</v>
      </c>
      <c r="CN4" s="2068" t="s">
        <v>947</v>
      </c>
      <c r="CO4" s="2068" t="s">
        <v>132</v>
      </c>
      <c r="CP4" s="2068" t="s">
        <v>948</v>
      </c>
      <c r="CQ4" s="2068" t="s">
        <v>949</v>
      </c>
      <c r="CR4" s="2068" t="s">
        <v>950</v>
      </c>
      <c r="CS4" s="2068" t="s">
        <v>951</v>
      </c>
      <c r="CT4" s="2068" t="s">
        <v>841</v>
      </c>
      <c r="CU4" s="2068" t="s">
        <v>842</v>
      </c>
      <c r="CV4" s="2068" t="s">
        <v>843</v>
      </c>
      <c r="CW4" s="2068" t="s">
        <v>844</v>
      </c>
      <c r="CX4" s="2068" t="s">
        <v>845</v>
      </c>
      <c r="CY4" s="2068" t="s">
        <v>991</v>
      </c>
      <c r="CZ4" s="2068" t="s">
        <v>992</v>
      </c>
      <c r="DA4" s="2068" t="s">
        <v>993</v>
      </c>
      <c r="DB4" s="2068" t="s">
        <v>994</v>
      </c>
      <c r="DC4" s="2068" t="s">
        <v>2514</v>
      </c>
      <c r="DD4" s="2068" t="s">
        <v>1487</v>
      </c>
      <c r="DE4" s="2068" t="s">
        <v>1488</v>
      </c>
      <c r="DF4" s="2068" t="s">
        <v>1489</v>
      </c>
      <c r="DG4" s="2068" t="s">
        <v>1490</v>
      </c>
      <c r="DH4" s="2068" t="s">
        <v>1491</v>
      </c>
      <c r="DI4" s="2068" t="s">
        <v>451</v>
      </c>
      <c r="DJ4" s="2068" t="s">
        <v>452</v>
      </c>
      <c r="DK4" s="2068" t="s">
        <v>453</v>
      </c>
      <c r="DL4" s="2068" t="s">
        <v>454</v>
      </c>
      <c r="DM4" s="2068" t="s">
        <v>455</v>
      </c>
      <c r="DN4" s="2068" t="s">
        <v>18</v>
      </c>
      <c r="DO4" s="2068" t="s">
        <v>19</v>
      </c>
      <c r="DP4" s="2068" t="s">
        <v>20</v>
      </c>
      <c r="DQ4" s="2068" t="s">
        <v>21</v>
      </c>
      <c r="DR4" s="2068" t="s">
        <v>22</v>
      </c>
      <c r="DS4" s="2068" t="s">
        <v>231</v>
      </c>
      <c r="DT4" s="2068" t="s">
        <v>232</v>
      </c>
      <c r="DU4" s="2068" t="s">
        <v>233</v>
      </c>
      <c r="DV4" s="2068" t="s">
        <v>1879</v>
      </c>
      <c r="DW4" s="2068" t="s">
        <v>1880</v>
      </c>
      <c r="DX4" s="2068" t="s">
        <v>1881</v>
      </c>
      <c r="DY4" s="2068" t="s">
        <v>614</v>
      </c>
      <c r="DZ4" s="2068" t="s">
        <v>615</v>
      </c>
      <c r="EA4" s="2068" t="s">
        <v>616</v>
      </c>
      <c r="EB4" s="2068" t="s">
        <v>617</v>
      </c>
      <c r="EC4" s="2068" t="s">
        <v>23</v>
      </c>
      <c r="ED4" s="2068" t="s">
        <v>24</v>
      </c>
      <c r="EE4" s="2068" t="s">
        <v>25</v>
      </c>
      <c r="EF4" s="2068" t="s">
        <v>26</v>
      </c>
      <c r="EG4" s="2068" t="s">
        <v>27</v>
      </c>
      <c r="EH4" s="2068" t="s">
        <v>513</v>
      </c>
      <c r="EI4" s="2068" t="s">
        <v>447</v>
      </c>
      <c r="EJ4" s="2068" t="s">
        <v>448</v>
      </c>
      <c r="EK4" s="2068" t="s">
        <v>449</v>
      </c>
      <c r="EL4" s="2068" t="s">
        <v>450</v>
      </c>
      <c r="EM4" s="2068" t="s">
        <v>2287</v>
      </c>
      <c r="EN4" s="2068" t="s">
        <v>2288</v>
      </c>
      <c r="EO4" s="2068" t="s">
        <v>2289</v>
      </c>
      <c r="EP4" s="2068" t="s">
        <v>1536</v>
      </c>
      <c r="EQ4" s="2068" t="s">
        <v>1537</v>
      </c>
      <c r="ER4" s="2068" t="s">
        <v>28</v>
      </c>
      <c r="ES4" s="2068" t="s">
        <v>29</v>
      </c>
      <c r="ET4" s="2068" t="s">
        <v>30</v>
      </c>
      <c r="EU4" s="2068" t="s">
        <v>31</v>
      </c>
      <c r="EV4" s="2068" t="s">
        <v>32</v>
      </c>
      <c r="EW4" s="77"/>
      <c r="EX4" s="510"/>
      <c r="EY4" s="510"/>
      <c r="EZ4" s="510"/>
      <c r="FA4" s="510"/>
      <c r="FB4" s="510"/>
      <c r="FC4" s="510"/>
      <c r="FD4" s="510"/>
      <c r="FE4" s="510"/>
      <c r="FF4" s="510"/>
      <c r="FG4" s="510"/>
      <c r="FH4" s="510"/>
      <c r="FI4" s="510"/>
      <c r="FJ4" s="510"/>
      <c r="FK4" s="510"/>
      <c r="FL4" s="510"/>
      <c r="FM4" s="510"/>
      <c r="FN4" s="510"/>
      <c r="FO4" s="510"/>
      <c r="FP4" s="510"/>
      <c r="FQ4" s="510"/>
      <c r="FR4" s="510"/>
      <c r="FS4" s="510"/>
      <c r="FT4" s="510"/>
      <c r="FU4" s="510"/>
      <c r="FV4" s="510"/>
      <c r="FW4" s="510"/>
      <c r="FX4" s="510"/>
      <c r="FY4" s="510"/>
      <c r="FZ4" s="510"/>
      <c r="GA4" s="510"/>
      <c r="GB4" s="510"/>
      <c r="GC4" s="510"/>
      <c r="GD4" s="510"/>
      <c r="GE4" s="510"/>
      <c r="GF4" s="510"/>
      <c r="GG4" s="510"/>
      <c r="GH4" s="510"/>
      <c r="GI4" s="510"/>
      <c r="GJ4" s="510"/>
      <c r="GK4" s="510"/>
      <c r="GL4" s="510"/>
      <c r="GM4" s="510"/>
      <c r="GN4" s="510"/>
      <c r="GO4" s="510"/>
      <c r="GP4" s="510"/>
      <c r="GQ4" s="510"/>
      <c r="GR4" s="510"/>
      <c r="GS4" s="510"/>
      <c r="GT4" s="510"/>
      <c r="GU4" s="510"/>
      <c r="GV4" s="510"/>
      <c r="GW4" s="510"/>
      <c r="GX4" s="510"/>
      <c r="GY4" s="510"/>
      <c r="GZ4" s="510"/>
      <c r="HA4" s="510"/>
      <c r="HB4" s="510"/>
      <c r="HC4" s="510"/>
      <c r="HD4" s="510"/>
      <c r="HE4" s="510"/>
      <c r="HF4" s="510"/>
      <c r="HG4" s="510"/>
      <c r="HH4" s="510"/>
      <c r="HI4" s="510"/>
      <c r="HJ4" s="510"/>
      <c r="HK4" s="510"/>
      <c r="HL4" s="510"/>
      <c r="HM4" s="510"/>
      <c r="HN4" s="510"/>
      <c r="HO4" s="510"/>
      <c r="HP4" s="510"/>
      <c r="HQ4" s="510"/>
      <c r="HR4" s="510"/>
      <c r="HS4" s="510"/>
      <c r="HT4" s="509"/>
      <c r="HU4" s="509"/>
      <c r="HV4" s="509"/>
      <c r="HW4" s="509"/>
      <c r="HX4" s="509"/>
      <c r="HY4" s="509"/>
      <c r="HZ4" s="509"/>
      <c r="IA4" s="509"/>
      <c r="IB4" s="509"/>
      <c r="IC4" s="509"/>
      <c r="ID4" s="2066" t="s">
        <v>1683</v>
      </c>
      <c r="IE4" s="2066" t="s">
        <v>2611</v>
      </c>
      <c r="IF4" s="2066" t="s">
        <v>2612</v>
      </c>
      <c r="IG4" s="2066" t="s">
        <v>400</v>
      </c>
      <c r="IH4" s="2066" t="s">
        <v>401</v>
      </c>
      <c r="II4" s="2066" t="s">
        <v>402</v>
      </c>
      <c r="IJ4" s="2066" t="s">
        <v>403</v>
      </c>
      <c r="IK4" s="2066" t="s">
        <v>404</v>
      </c>
      <c r="IL4" s="2066" t="s">
        <v>405</v>
      </c>
      <c r="IM4" s="2066" t="s">
        <v>406</v>
      </c>
      <c r="IN4" s="2066" t="s">
        <v>208</v>
      </c>
      <c r="IO4" s="2066" t="s">
        <v>209</v>
      </c>
      <c r="IP4" s="2066" t="s">
        <v>210</v>
      </c>
      <c r="IQ4" s="2066" t="s">
        <v>211</v>
      </c>
      <c r="IR4" s="2066" t="s">
        <v>212</v>
      </c>
      <c r="IS4" s="2066" t="s">
        <v>213</v>
      </c>
      <c r="IT4" s="2066" t="s">
        <v>214</v>
      </c>
      <c r="IU4" s="2066" t="s">
        <v>215</v>
      </c>
      <c r="IV4" s="2066" t="s">
        <v>216</v>
      </c>
      <c r="IW4" s="2066" t="s">
        <v>217</v>
      </c>
      <c r="IX4" s="2066" t="s">
        <v>218</v>
      </c>
      <c r="IY4" s="2066" t="s">
        <v>219</v>
      </c>
      <c r="IZ4" s="2066" t="s">
        <v>220</v>
      </c>
      <c r="JA4" s="2066" t="s">
        <v>221</v>
      </c>
      <c r="JB4" s="2066" t="s">
        <v>222</v>
      </c>
      <c r="JC4" s="2066"/>
      <c r="JD4" s="2066"/>
      <c r="JE4" s="2066"/>
      <c r="JF4" s="2066"/>
      <c r="JG4" s="2066"/>
      <c r="JH4" s="509"/>
      <c r="JI4" s="509"/>
      <c r="JJ4" s="509"/>
      <c r="JK4" s="509"/>
      <c r="JL4" s="509"/>
      <c r="JM4" s="509"/>
      <c r="JN4" s="509"/>
      <c r="JO4" s="509"/>
      <c r="JP4" s="509"/>
      <c r="JQ4" s="509"/>
      <c r="JR4" s="100"/>
      <c r="JS4" s="100"/>
      <c r="JT4" s="509"/>
      <c r="JU4" s="509"/>
      <c r="JV4" s="509"/>
      <c r="JW4" s="509"/>
      <c r="JX4" s="509"/>
      <c r="JY4" s="509"/>
      <c r="JZ4" s="509"/>
      <c r="KA4" s="509"/>
      <c r="KB4" s="509"/>
      <c r="KC4" s="509"/>
      <c r="KD4" s="509"/>
      <c r="KE4" s="509"/>
      <c r="KF4" s="509"/>
      <c r="KG4" s="509"/>
      <c r="KH4" s="509"/>
      <c r="KI4" s="509"/>
      <c r="KJ4" s="509"/>
    </row>
    <row r="5" spans="1:296" s="96" customFormat="1" ht="13.15" customHeight="1" thickBot="1">
      <c r="A5" s="2060" t="str">
        <f>IF(A48&gt;0,"Finish Row!","")</f>
        <v/>
      </c>
      <c r="B5" s="4" t="s">
        <v>1916</v>
      </c>
      <c r="D5" s="1"/>
      <c r="E5" s="4"/>
      <c r="F5" s="1"/>
      <c r="G5" s="2810"/>
      <c r="H5" s="2063" t="s">
        <v>4221</v>
      </c>
      <c r="I5" s="2064"/>
      <c r="J5" s="1810" t="s">
        <v>3850</v>
      </c>
      <c r="M5" s="1818" t="s">
        <v>597</v>
      </c>
      <c r="O5" s="1809" t="s">
        <v>1072</v>
      </c>
      <c r="P5" s="2058"/>
      <c r="Q5" s="1811"/>
      <c r="R5" s="100"/>
      <c r="S5" s="100"/>
      <c r="T5" s="100"/>
      <c r="W5" s="2067"/>
      <c r="X5" s="2067"/>
      <c r="Y5" s="2067"/>
      <c r="Z5" s="2067"/>
      <c r="AA5" s="2067"/>
      <c r="AB5" s="2067"/>
      <c r="AC5" s="2067"/>
      <c r="AD5" s="2067"/>
      <c r="AE5" s="2067"/>
      <c r="AF5" s="2067"/>
      <c r="AG5" s="2067"/>
      <c r="AH5" s="2067"/>
      <c r="AI5" s="2067"/>
      <c r="AJ5" s="2067"/>
      <c r="AK5" s="2067"/>
      <c r="AL5" s="2067"/>
      <c r="AM5" s="2067"/>
      <c r="AN5" s="2067"/>
      <c r="AO5" s="2067"/>
      <c r="AP5" s="2067"/>
      <c r="AQ5" s="2067"/>
      <c r="AR5" s="2067"/>
      <c r="AS5" s="2067"/>
      <c r="AT5" s="2067"/>
      <c r="AU5" s="2067"/>
      <c r="AV5" s="2067"/>
      <c r="AW5" s="2067"/>
      <c r="AX5" s="2067"/>
      <c r="AY5" s="2067"/>
      <c r="AZ5" s="2067"/>
      <c r="BA5" s="2067"/>
      <c r="BB5" s="2067"/>
      <c r="BC5" s="2067"/>
      <c r="BD5" s="2067"/>
      <c r="BE5" s="2067"/>
      <c r="BF5" s="2067"/>
      <c r="BG5" s="2067"/>
      <c r="BH5" s="2067"/>
      <c r="BI5" s="2067"/>
      <c r="BJ5" s="2067"/>
      <c r="BK5" s="2067"/>
      <c r="BL5" s="2067"/>
      <c r="BM5" s="2067"/>
      <c r="BN5" s="2067"/>
      <c r="BO5" s="2067"/>
      <c r="BP5" s="2067"/>
      <c r="BQ5" s="2067"/>
      <c r="BR5" s="2067"/>
      <c r="BS5" s="2067"/>
      <c r="BT5" s="2067"/>
      <c r="BU5" s="2067"/>
      <c r="BV5" s="2067"/>
      <c r="BW5" s="2067"/>
      <c r="BX5" s="2067"/>
      <c r="BY5" s="2067"/>
      <c r="BZ5" s="2067"/>
      <c r="CA5" s="2067"/>
      <c r="CB5" s="2067"/>
      <c r="CC5" s="2067"/>
      <c r="CD5" s="2067"/>
      <c r="CE5" s="2068"/>
      <c r="CF5" s="2068"/>
      <c r="CG5" s="2068"/>
      <c r="CH5" s="2068"/>
      <c r="CI5" s="2068"/>
      <c r="CJ5" s="2068"/>
      <c r="CK5" s="2068"/>
      <c r="CL5" s="2068"/>
      <c r="CM5" s="2068"/>
      <c r="CN5" s="2068"/>
      <c r="CO5" s="2068"/>
      <c r="CP5" s="2068"/>
      <c r="CQ5" s="2068"/>
      <c r="CR5" s="2068"/>
      <c r="CS5" s="2068"/>
      <c r="CT5" s="2068"/>
      <c r="CU5" s="2068"/>
      <c r="CV5" s="2068"/>
      <c r="CW5" s="2068"/>
      <c r="CX5" s="2068"/>
      <c r="CY5" s="2068"/>
      <c r="CZ5" s="2068"/>
      <c r="DA5" s="2068"/>
      <c r="DB5" s="2068"/>
      <c r="DC5" s="2068"/>
      <c r="DD5" s="2068"/>
      <c r="DE5" s="2068"/>
      <c r="DF5" s="2068"/>
      <c r="DG5" s="2068"/>
      <c r="DH5" s="2068"/>
      <c r="DI5" s="2068"/>
      <c r="DJ5" s="2068"/>
      <c r="DK5" s="2068"/>
      <c r="DL5" s="2068"/>
      <c r="DM5" s="2068"/>
      <c r="DN5" s="2068"/>
      <c r="DO5" s="2068"/>
      <c r="DP5" s="2068"/>
      <c r="DQ5" s="2068"/>
      <c r="DR5" s="2068"/>
      <c r="DS5" s="2068"/>
      <c r="DT5" s="2068"/>
      <c r="DU5" s="2068"/>
      <c r="DV5" s="2068"/>
      <c r="DW5" s="2068"/>
      <c r="DX5" s="2068"/>
      <c r="DY5" s="2068"/>
      <c r="DZ5" s="2068"/>
      <c r="EA5" s="2068"/>
      <c r="EB5" s="2068"/>
      <c r="EC5" s="2068"/>
      <c r="ED5" s="2068"/>
      <c r="EE5" s="2068"/>
      <c r="EF5" s="2068"/>
      <c r="EG5" s="2068"/>
      <c r="EH5" s="2068"/>
      <c r="EI5" s="2068"/>
      <c r="EJ5" s="2068"/>
      <c r="EK5" s="2068"/>
      <c r="EL5" s="2068"/>
      <c r="EM5" s="2068"/>
      <c r="EN5" s="2068"/>
      <c r="EO5" s="2068"/>
      <c r="EP5" s="2068"/>
      <c r="EQ5" s="2068"/>
      <c r="ER5" s="2068"/>
      <c r="ES5" s="2068"/>
      <c r="ET5" s="2068"/>
      <c r="EU5" s="2068"/>
      <c r="EV5" s="2068"/>
      <c r="EW5" s="77"/>
      <c r="EX5" s="510"/>
      <c r="EY5" s="510"/>
      <c r="EZ5" s="510"/>
      <c r="FA5" s="510"/>
      <c r="FB5" s="510"/>
      <c r="FC5" s="510"/>
      <c r="FD5" s="510"/>
      <c r="FE5" s="510"/>
      <c r="FF5" s="510"/>
      <c r="FG5" s="510"/>
      <c r="FH5" s="510"/>
      <c r="FI5" s="510"/>
      <c r="FJ5" s="510"/>
      <c r="FK5" s="510"/>
      <c r="FL5" s="510"/>
      <c r="FM5" s="510"/>
      <c r="FN5" s="510"/>
      <c r="FO5" s="510"/>
      <c r="FP5" s="510"/>
      <c r="FQ5" s="510"/>
      <c r="FR5" s="510"/>
      <c r="FS5" s="510"/>
      <c r="FT5" s="510"/>
      <c r="FU5" s="510"/>
      <c r="FV5" s="510"/>
      <c r="FW5" s="510"/>
      <c r="FX5" s="510"/>
      <c r="FY5" s="510"/>
      <c r="FZ5" s="510"/>
      <c r="GA5" s="510"/>
      <c r="GB5" s="510"/>
      <c r="GC5" s="510"/>
      <c r="GD5" s="510"/>
      <c r="GE5" s="510"/>
      <c r="GF5" s="510"/>
      <c r="GG5" s="510"/>
      <c r="GH5" s="510"/>
      <c r="GI5" s="510"/>
      <c r="GJ5" s="510"/>
      <c r="GK5" s="510"/>
      <c r="GL5" s="510"/>
      <c r="GM5" s="510"/>
      <c r="GN5" s="510"/>
      <c r="GO5" s="510"/>
      <c r="GP5" s="510"/>
      <c r="GQ5" s="510"/>
      <c r="GR5" s="510"/>
      <c r="GS5" s="510"/>
      <c r="GT5" s="510"/>
      <c r="GU5" s="510"/>
      <c r="GV5" s="510"/>
      <c r="GW5" s="510"/>
      <c r="GX5" s="510"/>
      <c r="GY5" s="510"/>
      <c r="GZ5" s="510"/>
      <c r="HA5" s="510"/>
      <c r="HB5" s="510"/>
      <c r="HC5" s="510"/>
      <c r="HD5" s="510"/>
      <c r="HE5" s="510"/>
      <c r="HF5" s="510"/>
      <c r="HG5" s="510"/>
      <c r="HH5" s="510"/>
      <c r="HI5" s="510"/>
      <c r="HJ5" s="510"/>
      <c r="HK5" s="510"/>
      <c r="HL5" s="510"/>
      <c r="HM5" s="510"/>
      <c r="HN5" s="510"/>
      <c r="HO5" s="510"/>
      <c r="HP5" s="510"/>
      <c r="HQ5" s="510"/>
      <c r="HR5" s="510"/>
      <c r="HS5" s="510"/>
      <c r="HT5" s="509"/>
      <c r="HU5" s="509"/>
      <c r="HV5" s="509"/>
      <c r="HW5" s="509"/>
      <c r="HX5" s="509"/>
      <c r="HY5" s="509"/>
      <c r="HZ5" s="509"/>
      <c r="IA5" s="509"/>
      <c r="IB5" s="509"/>
      <c r="IC5" s="509"/>
      <c r="ID5" s="2066"/>
      <c r="IE5" s="2066"/>
      <c r="IF5" s="2066"/>
      <c r="IG5" s="2066"/>
      <c r="IH5" s="2066"/>
      <c r="II5" s="2066"/>
      <c r="IJ5" s="2066"/>
      <c r="IK5" s="2066"/>
      <c r="IL5" s="2066"/>
      <c r="IM5" s="2066"/>
      <c r="IN5" s="2066"/>
      <c r="IO5" s="2066"/>
      <c r="IP5" s="2066"/>
      <c r="IQ5" s="2066"/>
      <c r="IR5" s="2066"/>
      <c r="IS5" s="2066"/>
      <c r="IT5" s="2066"/>
      <c r="IU5" s="2066"/>
      <c r="IV5" s="2066"/>
      <c r="IW5" s="2066"/>
      <c r="IX5" s="2066"/>
      <c r="IY5" s="2066"/>
      <c r="IZ5" s="2066"/>
      <c r="JA5" s="2066"/>
      <c r="JB5" s="2066"/>
      <c r="JC5" s="2066"/>
      <c r="JD5" s="2066"/>
      <c r="JE5" s="2066"/>
      <c r="JF5" s="2066"/>
      <c r="JG5" s="2066"/>
      <c r="JH5" s="2071" t="s">
        <v>3659</v>
      </c>
      <c r="JI5" s="2071" t="s">
        <v>3660</v>
      </c>
      <c r="JJ5" s="2071" t="s">
        <v>3661</v>
      </c>
      <c r="JK5" s="2071" t="s">
        <v>3662</v>
      </c>
      <c r="JL5" s="2071" t="s">
        <v>3663</v>
      </c>
      <c r="JM5" s="2066" t="s">
        <v>3673</v>
      </c>
      <c r="JN5" s="2066" t="s">
        <v>3675</v>
      </c>
      <c r="JO5" s="2066" t="s">
        <v>3676</v>
      </c>
      <c r="JP5" s="2066" t="s">
        <v>3677</v>
      </c>
      <c r="JQ5" s="2066" t="s">
        <v>3678</v>
      </c>
      <c r="JR5" s="100"/>
      <c r="JS5" s="100"/>
      <c r="JT5" s="509"/>
      <c r="JU5" s="509"/>
      <c r="JV5" s="509"/>
      <c r="JW5" s="509"/>
      <c r="JX5" s="509"/>
      <c r="JY5" s="509"/>
      <c r="JZ5" s="509"/>
      <c r="KA5" s="509"/>
      <c r="KB5" s="509"/>
      <c r="KC5" s="509"/>
      <c r="KD5" s="509"/>
      <c r="KE5" s="509"/>
      <c r="KF5" s="509"/>
      <c r="KG5" s="509"/>
      <c r="KH5" s="509"/>
      <c r="KI5" s="509"/>
      <c r="KJ5" s="509"/>
    </row>
    <row r="6" spans="1:296" s="96" customFormat="1" ht="13.15" customHeight="1">
      <c r="A6" s="2060"/>
      <c r="B6" s="30" t="s">
        <v>1872</v>
      </c>
      <c r="D6" s="1"/>
      <c r="E6" s="4"/>
      <c r="F6" s="2811" t="s">
        <v>3154</v>
      </c>
      <c r="G6" s="1810" t="s">
        <v>4105</v>
      </c>
      <c r="H6" s="2062" t="s">
        <v>4108</v>
      </c>
      <c r="J6" s="1810" t="s">
        <v>4110</v>
      </c>
      <c r="M6" s="2069" t="str">
        <f>'Part I-Project Information'!$O$30</f>
        <v>Atlanta-Sandy Springs-Marietta</v>
      </c>
      <c r="N6" s="2069"/>
      <c r="O6" s="1166">
        <f>VLOOKUP('Part I-Project Information'!$O$30,'DCA Underwriting Assumptions'!$C$141:$D$251,2)</f>
        <v>68300</v>
      </c>
      <c r="P6" s="2058"/>
      <c r="Q6" s="1811"/>
      <c r="R6" s="100"/>
      <c r="S6" s="2070" t="s">
        <v>2802</v>
      </c>
      <c r="T6" s="2070"/>
      <c r="W6" s="2067"/>
      <c r="X6" s="2067"/>
      <c r="Y6" s="2067"/>
      <c r="Z6" s="2067"/>
      <c r="AA6" s="2067"/>
      <c r="AB6" s="2067"/>
      <c r="AC6" s="2067"/>
      <c r="AD6" s="2067"/>
      <c r="AE6" s="2067"/>
      <c r="AF6" s="2067"/>
      <c r="AG6" s="2067"/>
      <c r="AH6" s="2067"/>
      <c r="AI6" s="2067"/>
      <c r="AJ6" s="2067"/>
      <c r="AK6" s="2067"/>
      <c r="AL6" s="2067"/>
      <c r="AM6" s="2067"/>
      <c r="AN6" s="2067"/>
      <c r="AO6" s="2067"/>
      <c r="AP6" s="2067"/>
      <c r="AQ6" s="2067"/>
      <c r="AR6" s="2067"/>
      <c r="AS6" s="2067"/>
      <c r="AT6" s="2067"/>
      <c r="AU6" s="2067"/>
      <c r="AV6" s="2067"/>
      <c r="AW6" s="2067"/>
      <c r="AX6" s="2067"/>
      <c r="AY6" s="2067"/>
      <c r="AZ6" s="2067"/>
      <c r="BA6" s="2067"/>
      <c r="BB6" s="2067"/>
      <c r="BC6" s="2067"/>
      <c r="BD6" s="2067"/>
      <c r="BE6" s="2067"/>
      <c r="BF6" s="2067"/>
      <c r="BG6" s="2067"/>
      <c r="BH6" s="2067"/>
      <c r="BI6" s="2067"/>
      <c r="BJ6" s="2067"/>
      <c r="BK6" s="2067"/>
      <c r="BL6" s="2067"/>
      <c r="BM6" s="2067"/>
      <c r="BN6" s="2067"/>
      <c r="BO6" s="2067"/>
      <c r="BP6" s="2067"/>
      <c r="BQ6" s="2067"/>
      <c r="BR6" s="2067"/>
      <c r="BS6" s="2067"/>
      <c r="BT6" s="2067"/>
      <c r="BU6" s="2067"/>
      <c r="BV6" s="2067"/>
      <c r="BW6" s="2067"/>
      <c r="BX6" s="2067"/>
      <c r="BY6" s="2067"/>
      <c r="BZ6" s="2067"/>
      <c r="CA6" s="2067"/>
      <c r="CB6" s="2067"/>
      <c r="CC6" s="2067"/>
      <c r="CD6" s="2067"/>
      <c r="CE6" s="2068"/>
      <c r="CF6" s="2068"/>
      <c r="CG6" s="2068"/>
      <c r="CH6" s="2068"/>
      <c r="CI6" s="2068"/>
      <c r="CJ6" s="2068"/>
      <c r="CK6" s="2068"/>
      <c r="CL6" s="2068"/>
      <c r="CM6" s="2068"/>
      <c r="CN6" s="2068"/>
      <c r="CO6" s="2068"/>
      <c r="CP6" s="2068"/>
      <c r="CQ6" s="2068"/>
      <c r="CR6" s="2068"/>
      <c r="CS6" s="2068"/>
      <c r="CT6" s="2068"/>
      <c r="CU6" s="2068"/>
      <c r="CV6" s="2068"/>
      <c r="CW6" s="2068"/>
      <c r="CX6" s="2068"/>
      <c r="CY6" s="2068"/>
      <c r="CZ6" s="2068"/>
      <c r="DA6" s="2068"/>
      <c r="DB6" s="2068"/>
      <c r="DC6" s="2068"/>
      <c r="DD6" s="2068"/>
      <c r="DE6" s="2068"/>
      <c r="DF6" s="2068"/>
      <c r="DG6" s="2068"/>
      <c r="DH6" s="2068"/>
      <c r="DI6" s="2068"/>
      <c r="DJ6" s="2068"/>
      <c r="DK6" s="2068"/>
      <c r="DL6" s="2068"/>
      <c r="DM6" s="2068"/>
      <c r="DN6" s="2068"/>
      <c r="DO6" s="2068"/>
      <c r="DP6" s="2068"/>
      <c r="DQ6" s="2068"/>
      <c r="DR6" s="2068"/>
      <c r="DS6" s="2068"/>
      <c r="DT6" s="2068"/>
      <c r="DU6" s="2068"/>
      <c r="DV6" s="2068"/>
      <c r="DW6" s="2068"/>
      <c r="DX6" s="2068"/>
      <c r="DY6" s="2068"/>
      <c r="DZ6" s="2068"/>
      <c r="EA6" s="2068"/>
      <c r="EB6" s="2068"/>
      <c r="EC6" s="2068"/>
      <c r="ED6" s="2068"/>
      <c r="EE6" s="2068"/>
      <c r="EF6" s="2068"/>
      <c r="EG6" s="2068"/>
      <c r="EH6" s="2068"/>
      <c r="EI6" s="2068"/>
      <c r="EJ6" s="2068"/>
      <c r="EK6" s="2068"/>
      <c r="EL6" s="2068"/>
      <c r="EM6" s="2068"/>
      <c r="EN6" s="2068"/>
      <c r="EO6" s="2068"/>
      <c r="EP6" s="2068"/>
      <c r="EQ6" s="2068"/>
      <c r="ER6" s="2068"/>
      <c r="ES6" s="2068"/>
      <c r="ET6" s="2068"/>
      <c r="EU6" s="2068"/>
      <c r="EV6" s="2068"/>
      <c r="EW6" s="77"/>
      <c r="EX6" s="510"/>
      <c r="EY6" s="510"/>
      <c r="EZ6" s="510"/>
      <c r="FA6" s="510"/>
      <c r="FB6" s="510"/>
      <c r="FC6" s="510"/>
      <c r="FD6" s="510"/>
      <c r="FE6" s="510"/>
      <c r="FF6" s="510"/>
      <c r="FG6" s="510"/>
      <c r="FH6" s="510"/>
      <c r="FI6" s="510"/>
      <c r="FJ6" s="510"/>
      <c r="FK6" s="510"/>
      <c r="FL6" s="510"/>
      <c r="FM6" s="510"/>
      <c r="FN6" s="510"/>
      <c r="FO6" s="510"/>
      <c r="FP6" s="510"/>
      <c r="FQ6" s="510"/>
      <c r="FR6" s="510"/>
      <c r="FS6" s="510"/>
      <c r="FT6" s="510"/>
      <c r="FU6" s="510"/>
      <c r="FV6" s="510"/>
      <c r="FW6" s="510"/>
      <c r="FX6" s="510"/>
      <c r="FY6" s="510"/>
      <c r="FZ6" s="510"/>
      <c r="GA6" s="510"/>
      <c r="GB6" s="510"/>
      <c r="GC6" s="510"/>
      <c r="GD6" s="510"/>
      <c r="GE6" s="510"/>
      <c r="GF6" s="510"/>
      <c r="GG6" s="510"/>
      <c r="GH6" s="510"/>
      <c r="GI6" s="510"/>
      <c r="GJ6" s="510"/>
      <c r="GK6" s="510"/>
      <c r="GL6" s="510"/>
      <c r="GM6" s="510"/>
      <c r="GN6" s="510"/>
      <c r="GO6" s="510"/>
      <c r="GP6" s="510"/>
      <c r="GQ6" s="510"/>
      <c r="GR6" s="510"/>
      <c r="GS6" s="510"/>
      <c r="GT6" s="510"/>
      <c r="GU6" s="510"/>
      <c r="GV6" s="510"/>
      <c r="GW6" s="510"/>
      <c r="GX6" s="510"/>
      <c r="GY6" s="510"/>
      <c r="GZ6" s="510"/>
      <c r="HA6" s="510"/>
      <c r="HB6" s="510"/>
      <c r="HC6" s="510"/>
      <c r="HD6" s="510"/>
      <c r="HE6" s="510"/>
      <c r="HF6" s="510"/>
      <c r="HG6" s="510"/>
      <c r="HH6" s="510"/>
      <c r="HI6" s="510"/>
      <c r="HJ6" s="510"/>
      <c r="HK6" s="510"/>
      <c r="HL6" s="510"/>
      <c r="HM6" s="510"/>
      <c r="HN6" s="510"/>
      <c r="HO6" s="510"/>
      <c r="HP6" s="510"/>
      <c r="HQ6" s="510"/>
      <c r="HR6" s="510"/>
      <c r="HS6" s="510"/>
      <c r="HT6" s="509"/>
      <c r="HU6" s="509"/>
      <c r="HV6" s="509"/>
      <c r="HW6" s="509"/>
      <c r="HX6" s="509"/>
      <c r="HY6" s="509"/>
      <c r="HZ6" s="509"/>
      <c r="IA6" s="509"/>
      <c r="IB6" s="509"/>
      <c r="IC6" s="509"/>
      <c r="ID6" s="2066"/>
      <c r="IE6" s="2066"/>
      <c r="IF6" s="2066"/>
      <c r="IG6" s="2066"/>
      <c r="IH6" s="2066"/>
      <c r="II6" s="2066"/>
      <c r="IJ6" s="2066"/>
      <c r="IK6" s="2066"/>
      <c r="IL6" s="2066"/>
      <c r="IM6" s="2066"/>
      <c r="IN6" s="2066"/>
      <c r="IO6" s="2066"/>
      <c r="IP6" s="2066"/>
      <c r="IQ6" s="2066"/>
      <c r="IR6" s="2066"/>
      <c r="IS6" s="2066"/>
      <c r="IT6" s="2066"/>
      <c r="IU6" s="2066"/>
      <c r="IV6" s="2066"/>
      <c r="IW6" s="2066"/>
      <c r="IX6" s="2066"/>
      <c r="IY6" s="2066"/>
      <c r="IZ6" s="2066"/>
      <c r="JA6" s="2066"/>
      <c r="JB6" s="2066"/>
      <c r="JC6" s="2066"/>
      <c r="JD6" s="2066"/>
      <c r="JE6" s="2066"/>
      <c r="JF6" s="2066"/>
      <c r="JG6" s="2066"/>
      <c r="JH6" s="2071"/>
      <c r="JI6" s="2071"/>
      <c r="JJ6" s="2071"/>
      <c r="JK6" s="2071"/>
      <c r="JL6" s="2071"/>
      <c r="JM6" s="2066"/>
      <c r="JN6" s="2066"/>
      <c r="JO6" s="2066"/>
      <c r="JP6" s="2066"/>
      <c r="JQ6" s="2066"/>
      <c r="JR6" s="100"/>
      <c r="JS6" s="100"/>
      <c r="JT6" s="509"/>
      <c r="JU6" s="509"/>
      <c r="JV6" s="509"/>
      <c r="JW6" s="509"/>
      <c r="JX6" s="509"/>
      <c r="JY6" s="509"/>
      <c r="JZ6" s="509"/>
      <c r="KA6" s="509"/>
      <c r="KB6" s="509"/>
      <c r="KC6" s="509"/>
      <c r="KD6" s="509"/>
      <c r="KE6" s="509"/>
      <c r="KF6" s="509"/>
      <c r="KG6" s="509"/>
      <c r="KH6" s="509"/>
      <c r="KI6" s="509"/>
      <c r="KJ6" s="509"/>
    </row>
    <row r="7" spans="1:296" s="96" customFormat="1" ht="11.25" customHeight="1">
      <c r="A7" s="2060"/>
      <c r="B7" s="4"/>
      <c r="C7" s="1"/>
      <c r="D7" s="4"/>
      <c r="E7" s="1"/>
      <c r="F7" s="1"/>
      <c r="G7" s="1810" t="s">
        <v>4106</v>
      </c>
      <c r="H7" s="2062"/>
      <c r="J7" s="1810" t="s">
        <v>4111</v>
      </c>
      <c r="M7" s="1"/>
      <c r="P7" s="2058"/>
      <c r="Q7" s="1811"/>
      <c r="R7" s="1157"/>
      <c r="S7" s="1158"/>
      <c r="T7" s="1163" t="s">
        <v>2799</v>
      </c>
      <c r="U7" s="468"/>
      <c r="V7" s="469"/>
      <c r="W7" s="2067"/>
      <c r="X7" s="2067"/>
      <c r="Y7" s="2067"/>
      <c r="Z7" s="2067"/>
      <c r="AA7" s="2067"/>
      <c r="AB7" s="2067"/>
      <c r="AC7" s="2067"/>
      <c r="AD7" s="2067"/>
      <c r="AE7" s="2067"/>
      <c r="AF7" s="2067"/>
      <c r="AG7" s="2067"/>
      <c r="AH7" s="2067"/>
      <c r="AI7" s="2067"/>
      <c r="AJ7" s="2067"/>
      <c r="AK7" s="2067"/>
      <c r="AL7" s="2067"/>
      <c r="AM7" s="2067"/>
      <c r="AN7" s="2067"/>
      <c r="AO7" s="2067"/>
      <c r="AP7" s="2067"/>
      <c r="AQ7" s="2067"/>
      <c r="AR7" s="2067"/>
      <c r="AS7" s="2067"/>
      <c r="AT7" s="2067"/>
      <c r="AU7" s="2067"/>
      <c r="AV7" s="2067"/>
      <c r="AW7" s="2067"/>
      <c r="AX7" s="2067"/>
      <c r="AY7" s="2067"/>
      <c r="AZ7" s="2067"/>
      <c r="BA7" s="2067"/>
      <c r="BB7" s="2067"/>
      <c r="BC7" s="2067"/>
      <c r="BD7" s="2067"/>
      <c r="BE7" s="2067"/>
      <c r="BF7" s="2067"/>
      <c r="BG7" s="2067"/>
      <c r="BH7" s="2067"/>
      <c r="BI7" s="2067"/>
      <c r="BJ7" s="2067"/>
      <c r="BK7" s="2067"/>
      <c r="BL7" s="2067"/>
      <c r="BM7" s="2067"/>
      <c r="BN7" s="2067"/>
      <c r="BO7" s="2067"/>
      <c r="BP7" s="2067"/>
      <c r="BQ7" s="2067"/>
      <c r="BR7" s="2067"/>
      <c r="BS7" s="2067"/>
      <c r="BT7" s="2067"/>
      <c r="BU7" s="2067"/>
      <c r="BV7" s="2067"/>
      <c r="BW7" s="2067"/>
      <c r="BX7" s="2067"/>
      <c r="BY7" s="2067"/>
      <c r="BZ7" s="2067"/>
      <c r="CA7" s="2067"/>
      <c r="CB7" s="2067"/>
      <c r="CC7" s="2067"/>
      <c r="CD7" s="2067"/>
      <c r="CE7" s="2068"/>
      <c r="CF7" s="2068"/>
      <c r="CG7" s="2068"/>
      <c r="CH7" s="2068"/>
      <c r="CI7" s="2068"/>
      <c r="CJ7" s="2068"/>
      <c r="CK7" s="2068"/>
      <c r="CL7" s="2068"/>
      <c r="CM7" s="2068"/>
      <c r="CN7" s="2068"/>
      <c r="CO7" s="2068"/>
      <c r="CP7" s="2068"/>
      <c r="CQ7" s="2068"/>
      <c r="CR7" s="2068"/>
      <c r="CS7" s="2068"/>
      <c r="CT7" s="2068"/>
      <c r="CU7" s="2068"/>
      <c r="CV7" s="2068"/>
      <c r="CW7" s="2068"/>
      <c r="CX7" s="2068"/>
      <c r="CY7" s="2068"/>
      <c r="CZ7" s="2068"/>
      <c r="DA7" s="2068"/>
      <c r="DB7" s="2068"/>
      <c r="DC7" s="2068"/>
      <c r="DD7" s="2068"/>
      <c r="DE7" s="2068"/>
      <c r="DF7" s="2068"/>
      <c r="DG7" s="2068"/>
      <c r="DH7" s="2068"/>
      <c r="DI7" s="2068"/>
      <c r="DJ7" s="2068"/>
      <c r="DK7" s="2068"/>
      <c r="DL7" s="2068"/>
      <c r="DM7" s="2068"/>
      <c r="DN7" s="2068"/>
      <c r="DO7" s="2068"/>
      <c r="DP7" s="2068"/>
      <c r="DQ7" s="2068"/>
      <c r="DR7" s="2068"/>
      <c r="DS7" s="2068"/>
      <c r="DT7" s="2068"/>
      <c r="DU7" s="2068"/>
      <c r="DV7" s="2068"/>
      <c r="DW7" s="2068"/>
      <c r="DX7" s="2068"/>
      <c r="DY7" s="2068"/>
      <c r="DZ7" s="2068"/>
      <c r="EA7" s="2068"/>
      <c r="EB7" s="2068"/>
      <c r="EC7" s="2068"/>
      <c r="ED7" s="2068"/>
      <c r="EE7" s="2068"/>
      <c r="EF7" s="2068"/>
      <c r="EG7" s="2068"/>
      <c r="EH7" s="2068"/>
      <c r="EI7" s="2068"/>
      <c r="EJ7" s="2068"/>
      <c r="EK7" s="2068"/>
      <c r="EL7" s="2068"/>
      <c r="EM7" s="2068"/>
      <c r="EN7" s="2068"/>
      <c r="EO7" s="2068"/>
      <c r="EP7" s="2068"/>
      <c r="EQ7" s="2068"/>
      <c r="ER7" s="2068"/>
      <c r="ES7" s="2068"/>
      <c r="ET7" s="2068"/>
      <c r="EU7" s="2068"/>
      <c r="EV7" s="2068"/>
      <c r="EW7" s="77"/>
      <c r="EX7" s="510"/>
      <c r="EY7" s="510"/>
      <c r="EZ7" s="510"/>
      <c r="FA7" s="510"/>
      <c r="FB7" s="510"/>
      <c r="FC7" s="510"/>
      <c r="FD7" s="510"/>
      <c r="FE7" s="510"/>
      <c r="FF7" s="510"/>
      <c r="FG7" s="510"/>
      <c r="FH7" s="510"/>
      <c r="FI7" s="510"/>
      <c r="FJ7" s="510"/>
      <c r="FK7" s="510"/>
      <c r="FL7" s="510"/>
      <c r="FM7" s="510"/>
      <c r="FN7" s="510"/>
      <c r="FO7" s="510"/>
      <c r="FP7" s="510"/>
      <c r="FQ7" s="510"/>
      <c r="FR7" s="510"/>
      <c r="FS7" s="510"/>
      <c r="FT7" s="510"/>
      <c r="FU7" s="510"/>
      <c r="FV7" s="516"/>
      <c r="FW7" s="516"/>
      <c r="FX7" s="516"/>
      <c r="FY7" s="516"/>
      <c r="FZ7" s="516"/>
      <c r="GA7" s="516"/>
      <c r="GB7" s="516"/>
      <c r="GC7" s="516"/>
      <c r="GD7" s="516"/>
      <c r="GE7" s="516"/>
      <c r="GF7" s="516"/>
      <c r="GG7" s="516"/>
      <c r="GH7" s="516"/>
      <c r="GI7" s="516"/>
      <c r="GJ7" s="516"/>
      <c r="GK7" s="516"/>
      <c r="GL7" s="516"/>
      <c r="GM7" s="516"/>
      <c r="GN7" s="516"/>
      <c r="GO7" s="516"/>
      <c r="GP7" s="516"/>
      <c r="GQ7" s="516"/>
      <c r="GR7" s="516"/>
      <c r="GS7" s="516"/>
      <c r="GT7" s="516"/>
      <c r="GU7" s="516"/>
      <c r="GV7" s="516"/>
      <c r="GW7" s="516"/>
      <c r="GX7" s="516"/>
      <c r="GY7" s="516"/>
      <c r="GZ7" s="516"/>
      <c r="HA7" s="516"/>
      <c r="HB7" s="516"/>
      <c r="HC7" s="516"/>
      <c r="HD7" s="516"/>
      <c r="HE7" s="516"/>
      <c r="HF7" s="516"/>
      <c r="HG7" s="516"/>
      <c r="HH7" s="516"/>
      <c r="HI7" s="516"/>
      <c r="HJ7" s="516"/>
      <c r="HK7" s="516"/>
      <c r="HL7" s="516"/>
      <c r="HM7" s="516"/>
      <c r="HN7" s="516"/>
      <c r="HO7" s="516"/>
      <c r="HP7" s="516"/>
      <c r="HQ7" s="516"/>
      <c r="HR7" s="516"/>
      <c r="HS7" s="516"/>
      <c r="HT7" s="516"/>
      <c r="HU7" s="516"/>
      <c r="HV7" s="516"/>
      <c r="HW7" s="516"/>
      <c r="HX7" s="516"/>
      <c r="HY7" s="516"/>
      <c r="HZ7" s="516"/>
      <c r="IA7" s="516"/>
      <c r="IB7" s="516"/>
      <c r="IC7" s="516"/>
      <c r="ID7" s="2066"/>
      <c r="IE7" s="2066"/>
      <c r="IF7" s="2066"/>
      <c r="IG7" s="2066"/>
      <c r="IH7" s="2066"/>
      <c r="II7" s="2066"/>
      <c r="IJ7" s="2066"/>
      <c r="IK7" s="2066"/>
      <c r="IL7" s="2066"/>
      <c r="IM7" s="2066"/>
      <c r="IN7" s="2066"/>
      <c r="IO7" s="2066"/>
      <c r="IP7" s="2066"/>
      <c r="IQ7" s="2066"/>
      <c r="IR7" s="2066"/>
      <c r="IS7" s="2066"/>
      <c r="IT7" s="2066"/>
      <c r="IU7" s="2066"/>
      <c r="IV7" s="2066"/>
      <c r="IW7" s="2066"/>
      <c r="IX7" s="2066"/>
      <c r="IY7" s="2066"/>
      <c r="IZ7" s="2066"/>
      <c r="JA7" s="2066"/>
      <c r="JB7" s="2066"/>
      <c r="JC7" s="2066"/>
      <c r="JD7" s="2066"/>
      <c r="JE7" s="2066"/>
      <c r="JF7" s="2066"/>
      <c r="JG7" s="2066"/>
      <c r="JH7" s="2071"/>
      <c r="JI7" s="2071"/>
      <c r="JJ7" s="2071"/>
      <c r="JK7" s="2071"/>
      <c r="JL7" s="2071"/>
      <c r="JM7" s="2066"/>
      <c r="JN7" s="2066"/>
      <c r="JO7" s="2066"/>
      <c r="JP7" s="2066"/>
      <c r="JQ7" s="2066"/>
      <c r="JR7" s="100"/>
      <c r="JS7" s="100"/>
      <c r="JT7" s="509"/>
      <c r="JU7" s="509"/>
      <c r="JV7" s="509"/>
      <c r="JW7" s="509"/>
      <c r="JX7" s="509"/>
      <c r="JY7" s="509"/>
      <c r="JZ7" s="509"/>
      <c r="KA7" s="509"/>
      <c r="KB7" s="509"/>
      <c r="KC7" s="509"/>
      <c r="KD7" s="509"/>
      <c r="KE7" s="509"/>
      <c r="KF7" s="509"/>
      <c r="KG7" s="509"/>
      <c r="KH7" s="509"/>
      <c r="KI7" s="509"/>
      <c r="KJ7" s="509"/>
    </row>
    <row r="8" spans="1:296" s="118" customFormat="1" ht="11.25" customHeight="1">
      <c r="A8" s="2060"/>
      <c r="B8" s="1812" t="s">
        <v>1535</v>
      </c>
      <c r="C8" s="1810" t="s">
        <v>177</v>
      </c>
      <c r="D8" s="1810" t="s">
        <v>564</v>
      </c>
      <c r="E8" s="1810" t="s">
        <v>1533</v>
      </c>
      <c r="F8" s="1810" t="s">
        <v>1533</v>
      </c>
      <c r="G8" s="1810" t="s">
        <v>1535</v>
      </c>
      <c r="H8" s="1810" t="s">
        <v>4106</v>
      </c>
      <c r="I8" s="1810" t="s">
        <v>830</v>
      </c>
      <c r="J8" s="1810" t="s">
        <v>2491</v>
      </c>
      <c r="K8" s="2061" t="s">
        <v>147</v>
      </c>
      <c r="L8" s="2061"/>
      <c r="M8" s="1810" t="s">
        <v>2450</v>
      </c>
      <c r="N8" s="1810" t="s">
        <v>551</v>
      </c>
      <c r="O8" s="1810" t="s">
        <v>397</v>
      </c>
      <c r="P8" s="2058"/>
      <c r="Q8" s="2061" t="s">
        <v>3861</v>
      </c>
      <c r="R8" s="2061"/>
      <c r="S8" s="1810" t="s">
        <v>2798</v>
      </c>
      <c r="T8" s="1810" t="s">
        <v>2800</v>
      </c>
      <c r="U8" s="470"/>
      <c r="V8" s="471"/>
      <c r="W8" s="2067"/>
      <c r="X8" s="2067"/>
      <c r="Y8" s="2067"/>
      <c r="Z8" s="2067"/>
      <c r="AA8" s="2067"/>
      <c r="AB8" s="2067"/>
      <c r="AC8" s="2067"/>
      <c r="AD8" s="2067"/>
      <c r="AE8" s="2067"/>
      <c r="AF8" s="2067"/>
      <c r="AG8" s="2067"/>
      <c r="AH8" s="2067"/>
      <c r="AI8" s="2067"/>
      <c r="AJ8" s="2067"/>
      <c r="AK8" s="2067"/>
      <c r="AL8" s="2067"/>
      <c r="AM8" s="2067"/>
      <c r="AN8" s="2067"/>
      <c r="AO8" s="2067"/>
      <c r="AP8" s="2067"/>
      <c r="AQ8" s="2067"/>
      <c r="AR8" s="2067"/>
      <c r="AS8" s="2067"/>
      <c r="AT8" s="2067"/>
      <c r="AU8" s="2067"/>
      <c r="AV8" s="2067"/>
      <c r="AW8" s="2067"/>
      <c r="AX8" s="2067"/>
      <c r="AY8" s="2067"/>
      <c r="AZ8" s="2067"/>
      <c r="BA8" s="2067"/>
      <c r="BB8" s="2067"/>
      <c r="BC8" s="2067"/>
      <c r="BD8" s="2067"/>
      <c r="BE8" s="2067"/>
      <c r="BF8" s="2067"/>
      <c r="BG8" s="2067"/>
      <c r="BH8" s="2067"/>
      <c r="BI8" s="2067"/>
      <c r="BJ8" s="2067"/>
      <c r="BK8" s="2067"/>
      <c r="BL8" s="2067"/>
      <c r="BM8" s="2067"/>
      <c r="BN8" s="2067"/>
      <c r="BO8" s="2067"/>
      <c r="BP8" s="2067"/>
      <c r="BQ8" s="2067"/>
      <c r="BR8" s="2067"/>
      <c r="BS8" s="2067"/>
      <c r="BT8" s="2067"/>
      <c r="BU8" s="2067"/>
      <c r="BV8" s="2067"/>
      <c r="BW8" s="2067"/>
      <c r="BX8" s="2067"/>
      <c r="BY8" s="2067"/>
      <c r="BZ8" s="2067"/>
      <c r="CA8" s="2067"/>
      <c r="CB8" s="2067"/>
      <c r="CC8" s="2067"/>
      <c r="CD8" s="2067"/>
      <c r="CE8" s="2068"/>
      <c r="CF8" s="2068"/>
      <c r="CG8" s="2068"/>
      <c r="CH8" s="2068"/>
      <c r="CI8" s="2068"/>
      <c r="CJ8" s="2068"/>
      <c r="CK8" s="2068"/>
      <c r="CL8" s="2068"/>
      <c r="CM8" s="2068"/>
      <c r="CN8" s="2068"/>
      <c r="CO8" s="2068"/>
      <c r="CP8" s="2068"/>
      <c r="CQ8" s="2068"/>
      <c r="CR8" s="2068"/>
      <c r="CS8" s="2068"/>
      <c r="CT8" s="2068"/>
      <c r="CU8" s="2068"/>
      <c r="CV8" s="2068"/>
      <c r="CW8" s="2068"/>
      <c r="CX8" s="2068"/>
      <c r="CY8" s="2068"/>
      <c r="CZ8" s="2068"/>
      <c r="DA8" s="2068"/>
      <c r="DB8" s="2068"/>
      <c r="DC8" s="2068"/>
      <c r="DD8" s="2068"/>
      <c r="DE8" s="2068"/>
      <c r="DF8" s="2068"/>
      <c r="DG8" s="2068"/>
      <c r="DH8" s="2068"/>
      <c r="DI8" s="2068"/>
      <c r="DJ8" s="2068"/>
      <c r="DK8" s="2068"/>
      <c r="DL8" s="2068"/>
      <c r="DM8" s="2068"/>
      <c r="DN8" s="2068"/>
      <c r="DO8" s="2068"/>
      <c r="DP8" s="2068"/>
      <c r="DQ8" s="2068"/>
      <c r="DR8" s="2068"/>
      <c r="DS8" s="2068"/>
      <c r="DT8" s="2068"/>
      <c r="DU8" s="2068"/>
      <c r="DV8" s="2068"/>
      <c r="DW8" s="2068"/>
      <c r="DX8" s="2068"/>
      <c r="DY8" s="2068"/>
      <c r="DZ8" s="2068"/>
      <c r="EA8" s="2068"/>
      <c r="EB8" s="2068"/>
      <c r="EC8" s="2068"/>
      <c r="ED8" s="2068"/>
      <c r="EE8" s="2068"/>
      <c r="EF8" s="2068"/>
      <c r="EG8" s="2068"/>
      <c r="EH8" s="2068"/>
      <c r="EI8" s="2068"/>
      <c r="EJ8" s="2068"/>
      <c r="EK8" s="2068"/>
      <c r="EL8" s="2068"/>
      <c r="EM8" s="2068"/>
      <c r="EN8" s="2068"/>
      <c r="EO8" s="2068"/>
      <c r="EP8" s="2068"/>
      <c r="EQ8" s="2068"/>
      <c r="ER8" s="2068"/>
      <c r="ES8" s="2068"/>
      <c r="ET8" s="2068"/>
      <c r="EU8" s="2068"/>
      <c r="EV8" s="2068"/>
      <c r="EW8" s="2068" t="s">
        <v>1518</v>
      </c>
      <c r="EX8" s="516" t="s">
        <v>2525</v>
      </c>
      <c r="EY8" s="516" t="s">
        <v>2526</v>
      </c>
      <c r="EZ8" s="516" t="s">
        <v>2527</v>
      </c>
      <c r="FA8" s="516" t="s">
        <v>2528</v>
      </c>
      <c r="FB8" s="2066" t="s">
        <v>2583</v>
      </c>
      <c r="FC8" s="2066" t="s">
        <v>2583</v>
      </c>
      <c r="FD8" s="2066" t="s">
        <v>2583</v>
      </c>
      <c r="FE8" s="2066" t="s">
        <v>2583</v>
      </c>
      <c r="FF8" s="2066" t="s">
        <v>2583</v>
      </c>
      <c r="FG8" s="2066" t="s">
        <v>3555</v>
      </c>
      <c r="FH8" s="2066" t="s">
        <v>3555</v>
      </c>
      <c r="FI8" s="2066" t="s">
        <v>3555</v>
      </c>
      <c r="FJ8" s="2066" t="s">
        <v>3555</v>
      </c>
      <c r="FK8" s="2066" t="s">
        <v>3555</v>
      </c>
      <c r="FL8" s="516" t="s">
        <v>587</v>
      </c>
      <c r="FM8" s="516" t="s">
        <v>2525</v>
      </c>
      <c r="FN8" s="516" t="s">
        <v>2526</v>
      </c>
      <c r="FO8" s="516" t="s">
        <v>2527</v>
      </c>
      <c r="FP8" s="516" t="s">
        <v>2528</v>
      </c>
      <c r="FQ8" s="516" t="s">
        <v>587</v>
      </c>
      <c r="FR8" s="516" t="s">
        <v>2525</v>
      </c>
      <c r="FS8" s="516" t="s">
        <v>2526</v>
      </c>
      <c r="FT8" s="516" t="s">
        <v>2527</v>
      </c>
      <c r="FU8" s="516" t="s">
        <v>2528</v>
      </c>
      <c r="FV8" s="2066" t="s">
        <v>2585</v>
      </c>
      <c r="FW8" s="2066" t="s">
        <v>2585</v>
      </c>
      <c r="FX8" s="2066" t="s">
        <v>2585</v>
      </c>
      <c r="FY8" s="2066" t="s">
        <v>2585</v>
      </c>
      <c r="FZ8" s="2066" t="s">
        <v>2585</v>
      </c>
      <c r="GA8" s="2066" t="s">
        <v>3551</v>
      </c>
      <c r="GB8" s="2066" t="s">
        <v>3551</v>
      </c>
      <c r="GC8" s="2066" t="s">
        <v>3551</v>
      </c>
      <c r="GD8" s="2066" t="s">
        <v>3551</v>
      </c>
      <c r="GE8" s="2066" t="s">
        <v>3551</v>
      </c>
      <c r="GF8" s="2066" t="s">
        <v>372</v>
      </c>
      <c r="GG8" s="2066" t="s">
        <v>372</v>
      </c>
      <c r="GH8" s="2066" t="s">
        <v>372</v>
      </c>
      <c r="GI8" s="2066" t="s">
        <v>372</v>
      </c>
      <c r="GJ8" s="2066" t="s">
        <v>372</v>
      </c>
      <c r="GK8" s="2066" t="s">
        <v>3550</v>
      </c>
      <c r="GL8" s="2066" t="s">
        <v>3550</v>
      </c>
      <c r="GM8" s="2066" t="s">
        <v>3550</v>
      </c>
      <c r="GN8" s="2066" t="s">
        <v>3550</v>
      </c>
      <c r="GO8" s="2066" t="s">
        <v>3550</v>
      </c>
      <c r="GP8" s="2066" t="s">
        <v>373</v>
      </c>
      <c r="GQ8" s="2066" t="s">
        <v>373</v>
      </c>
      <c r="GR8" s="2066" t="s">
        <v>373</v>
      </c>
      <c r="GS8" s="2066" t="s">
        <v>373</v>
      </c>
      <c r="GT8" s="2066" t="s">
        <v>373</v>
      </c>
      <c r="GU8" s="2066" t="s">
        <v>3549</v>
      </c>
      <c r="GV8" s="2066" t="s">
        <v>3549</v>
      </c>
      <c r="GW8" s="2066" t="s">
        <v>3549</v>
      </c>
      <c r="GX8" s="2066" t="s">
        <v>3549</v>
      </c>
      <c r="GY8" s="2066" t="s">
        <v>3549</v>
      </c>
      <c r="GZ8" s="2066" t="s">
        <v>374</v>
      </c>
      <c r="HA8" s="2066" t="s">
        <v>374</v>
      </c>
      <c r="HB8" s="2066" t="s">
        <v>374</v>
      </c>
      <c r="HC8" s="2066" t="s">
        <v>374</v>
      </c>
      <c r="HD8" s="2066" t="s">
        <v>374</v>
      </c>
      <c r="HE8" s="2066" t="s">
        <v>3552</v>
      </c>
      <c r="HF8" s="2066" t="s">
        <v>3552</v>
      </c>
      <c r="HG8" s="2066" t="s">
        <v>3552</v>
      </c>
      <c r="HH8" s="2066" t="s">
        <v>3552</v>
      </c>
      <c r="HI8" s="2066" t="s">
        <v>3552</v>
      </c>
      <c r="HJ8" s="2066" t="s">
        <v>375</v>
      </c>
      <c r="HK8" s="2066" t="s">
        <v>375</v>
      </c>
      <c r="HL8" s="2066" t="s">
        <v>375</v>
      </c>
      <c r="HM8" s="2066" t="s">
        <v>375</v>
      </c>
      <c r="HN8" s="2066" t="s">
        <v>375</v>
      </c>
      <c r="HO8" s="2066" t="s">
        <v>3553</v>
      </c>
      <c r="HP8" s="2066" t="s">
        <v>3553</v>
      </c>
      <c r="HQ8" s="2066" t="s">
        <v>3553</v>
      </c>
      <c r="HR8" s="2066" t="s">
        <v>3553</v>
      </c>
      <c r="HS8" s="2066" t="s">
        <v>3553</v>
      </c>
      <c r="HT8" s="2066" t="s">
        <v>1517</v>
      </c>
      <c r="HU8" s="2066" t="s">
        <v>1517</v>
      </c>
      <c r="HV8" s="2066" t="s">
        <v>1517</v>
      </c>
      <c r="HW8" s="2066" t="s">
        <v>1517</v>
      </c>
      <c r="HX8" s="2066" t="s">
        <v>1517</v>
      </c>
      <c r="HY8" s="2066" t="s">
        <v>3554</v>
      </c>
      <c r="HZ8" s="2066" t="s">
        <v>3554</v>
      </c>
      <c r="IA8" s="2066" t="s">
        <v>3554</v>
      </c>
      <c r="IB8" s="2066" t="s">
        <v>3554</v>
      </c>
      <c r="IC8" s="2066" t="s">
        <v>3554</v>
      </c>
      <c r="ID8" s="2066"/>
      <c r="IE8" s="2066"/>
      <c r="IF8" s="2066"/>
      <c r="IG8" s="2066"/>
      <c r="IH8" s="2066"/>
      <c r="II8" s="2066"/>
      <c r="IJ8" s="2066"/>
      <c r="IK8" s="2066"/>
      <c r="IL8" s="2066"/>
      <c r="IM8" s="2066"/>
      <c r="IN8" s="2066"/>
      <c r="IO8" s="2066"/>
      <c r="IP8" s="2066"/>
      <c r="IQ8" s="2066"/>
      <c r="IR8" s="2066"/>
      <c r="IS8" s="2066"/>
      <c r="IT8" s="2066"/>
      <c r="IU8" s="2066"/>
      <c r="IV8" s="2066"/>
      <c r="IW8" s="2066"/>
      <c r="IX8" s="2066"/>
      <c r="IY8" s="2066"/>
      <c r="IZ8" s="2066"/>
      <c r="JA8" s="2066"/>
      <c r="JB8" s="2066"/>
      <c r="JC8" s="2066"/>
      <c r="JD8" s="2066"/>
      <c r="JE8" s="2066"/>
      <c r="JF8" s="2066"/>
      <c r="JG8" s="2066"/>
      <c r="JH8" s="2071"/>
      <c r="JI8" s="2071"/>
      <c r="JJ8" s="2071"/>
      <c r="JK8" s="2071"/>
      <c r="JL8" s="2071"/>
      <c r="JM8" s="2066"/>
      <c r="JN8" s="2066"/>
      <c r="JO8" s="2066"/>
      <c r="JP8" s="2066"/>
      <c r="JQ8" s="2066"/>
      <c r="JR8" s="95"/>
      <c r="JS8" s="95"/>
      <c r="JT8" s="512"/>
      <c r="JU8" s="512"/>
      <c r="JV8" s="512"/>
      <c r="JW8" s="512"/>
      <c r="JX8" s="512"/>
      <c r="JY8" s="512"/>
      <c r="JZ8" s="512"/>
      <c r="KA8" s="512"/>
      <c r="KB8" s="512"/>
      <c r="KC8" s="512"/>
      <c r="KD8" s="512"/>
      <c r="KE8" s="512"/>
      <c r="KF8" s="512"/>
      <c r="KG8" s="512"/>
      <c r="KH8" s="512"/>
      <c r="KI8" s="512"/>
      <c r="KJ8" s="512"/>
    </row>
    <row r="9" spans="1:296" s="118" customFormat="1" ht="11.25" customHeight="1">
      <c r="A9" s="2060"/>
      <c r="B9" s="1812" t="s">
        <v>1345</v>
      </c>
      <c r="C9" s="1810" t="s">
        <v>176</v>
      </c>
      <c r="D9" s="1810" t="s">
        <v>178</v>
      </c>
      <c r="E9" s="1810" t="s">
        <v>1534</v>
      </c>
      <c r="F9" s="1810" t="s">
        <v>1326</v>
      </c>
      <c r="G9" s="1810" t="s">
        <v>4107</v>
      </c>
      <c r="H9" s="1810" t="s">
        <v>1535</v>
      </c>
      <c r="I9" s="1810" t="s">
        <v>831</v>
      </c>
      <c r="J9" s="508" t="s">
        <v>363</v>
      </c>
      <c r="K9" s="1810" t="s">
        <v>1587</v>
      </c>
      <c r="L9" s="1810" t="s">
        <v>558</v>
      </c>
      <c r="M9" s="1810" t="s">
        <v>1533</v>
      </c>
      <c r="N9" s="1810" t="s">
        <v>3499</v>
      </c>
      <c r="O9" s="1810" t="s">
        <v>398</v>
      </c>
      <c r="P9" s="2059"/>
      <c r="Q9" s="1810" t="s">
        <v>3862</v>
      </c>
      <c r="R9" s="1810" t="s">
        <v>1077</v>
      </c>
      <c r="S9" s="1810" t="s">
        <v>1535</v>
      </c>
      <c r="T9" s="1810" t="s">
        <v>2801</v>
      </c>
      <c r="U9" s="1938" t="s">
        <v>1915</v>
      </c>
      <c r="V9" s="1938"/>
      <c r="W9" s="2067"/>
      <c r="X9" s="2067"/>
      <c r="Y9" s="2067"/>
      <c r="Z9" s="2067"/>
      <c r="AA9" s="2067"/>
      <c r="AB9" s="2067"/>
      <c r="AC9" s="2067"/>
      <c r="AD9" s="2067"/>
      <c r="AE9" s="2067"/>
      <c r="AF9" s="2067"/>
      <c r="AG9" s="2067"/>
      <c r="AH9" s="2067"/>
      <c r="AI9" s="2067"/>
      <c r="AJ9" s="2067"/>
      <c r="AK9" s="2067"/>
      <c r="AL9" s="2067"/>
      <c r="AM9" s="2067"/>
      <c r="AN9" s="2067"/>
      <c r="AO9" s="2067"/>
      <c r="AP9" s="2067"/>
      <c r="AQ9" s="2067"/>
      <c r="AR9" s="2067"/>
      <c r="AS9" s="2067"/>
      <c r="AT9" s="2067"/>
      <c r="AU9" s="2067"/>
      <c r="AV9" s="2067"/>
      <c r="AW9" s="2067"/>
      <c r="AX9" s="2067"/>
      <c r="AY9" s="2067"/>
      <c r="AZ9" s="2067"/>
      <c r="BA9" s="2067"/>
      <c r="BB9" s="2067"/>
      <c r="BC9" s="2067"/>
      <c r="BD9" s="2067"/>
      <c r="BE9" s="2067"/>
      <c r="BF9" s="2067"/>
      <c r="BG9" s="2067"/>
      <c r="BH9" s="2067"/>
      <c r="BI9" s="2067"/>
      <c r="BJ9" s="2067"/>
      <c r="BK9" s="2067"/>
      <c r="BL9" s="2067"/>
      <c r="BM9" s="2067"/>
      <c r="BN9" s="2067"/>
      <c r="BO9" s="2067"/>
      <c r="BP9" s="2067"/>
      <c r="BQ9" s="2067"/>
      <c r="BR9" s="2067"/>
      <c r="BS9" s="2067"/>
      <c r="BT9" s="2067"/>
      <c r="BU9" s="2067"/>
      <c r="BV9" s="2067"/>
      <c r="BW9" s="2067"/>
      <c r="BX9" s="2067"/>
      <c r="BY9" s="2067"/>
      <c r="BZ9" s="2067"/>
      <c r="CA9" s="2067"/>
      <c r="CB9" s="2067"/>
      <c r="CC9" s="2067"/>
      <c r="CD9" s="2067"/>
      <c r="CE9" s="2068"/>
      <c r="CF9" s="2068"/>
      <c r="CG9" s="2068"/>
      <c r="CH9" s="2068"/>
      <c r="CI9" s="2068"/>
      <c r="CJ9" s="2068"/>
      <c r="CK9" s="2068"/>
      <c r="CL9" s="2068"/>
      <c r="CM9" s="2068"/>
      <c r="CN9" s="2068"/>
      <c r="CO9" s="2068"/>
      <c r="CP9" s="2068"/>
      <c r="CQ9" s="2068"/>
      <c r="CR9" s="2068"/>
      <c r="CS9" s="2068"/>
      <c r="CT9" s="2068"/>
      <c r="CU9" s="2068"/>
      <c r="CV9" s="2068"/>
      <c r="CW9" s="2068"/>
      <c r="CX9" s="2068"/>
      <c r="CY9" s="2068"/>
      <c r="CZ9" s="2068"/>
      <c r="DA9" s="2068"/>
      <c r="DB9" s="2068"/>
      <c r="DC9" s="2068"/>
      <c r="DD9" s="2068"/>
      <c r="DE9" s="2068"/>
      <c r="DF9" s="2068"/>
      <c r="DG9" s="2068"/>
      <c r="DH9" s="2068"/>
      <c r="DI9" s="2068"/>
      <c r="DJ9" s="2068"/>
      <c r="DK9" s="2068"/>
      <c r="DL9" s="2068"/>
      <c r="DM9" s="2068"/>
      <c r="DN9" s="2068"/>
      <c r="DO9" s="2068"/>
      <c r="DP9" s="2068"/>
      <c r="DQ9" s="2068"/>
      <c r="DR9" s="2068"/>
      <c r="DS9" s="2068"/>
      <c r="DT9" s="2068"/>
      <c r="DU9" s="2068"/>
      <c r="DV9" s="2068"/>
      <c r="DW9" s="2068"/>
      <c r="DX9" s="2068"/>
      <c r="DY9" s="2068"/>
      <c r="DZ9" s="2068"/>
      <c r="EA9" s="2068"/>
      <c r="EB9" s="2068"/>
      <c r="EC9" s="2068"/>
      <c r="ED9" s="2068"/>
      <c r="EE9" s="2068"/>
      <c r="EF9" s="2068"/>
      <c r="EG9" s="2068"/>
      <c r="EH9" s="2068"/>
      <c r="EI9" s="2068"/>
      <c r="EJ9" s="2068"/>
      <c r="EK9" s="2068"/>
      <c r="EL9" s="2068"/>
      <c r="EM9" s="2068"/>
      <c r="EN9" s="2068"/>
      <c r="EO9" s="2068"/>
      <c r="EP9" s="2068"/>
      <c r="EQ9" s="2068"/>
      <c r="ER9" s="2068"/>
      <c r="ES9" s="2068"/>
      <c r="ET9" s="2068"/>
      <c r="EU9" s="2068"/>
      <c r="EV9" s="2068"/>
      <c r="EW9" s="2068"/>
      <c r="EX9" s="516" t="s">
        <v>2582</v>
      </c>
      <c r="EY9" s="516" t="s">
        <v>2582</v>
      </c>
      <c r="EZ9" s="516" t="s">
        <v>2582</v>
      </c>
      <c r="FA9" s="516" t="s">
        <v>2582</v>
      </c>
      <c r="FB9" s="2066"/>
      <c r="FC9" s="2066"/>
      <c r="FD9" s="2066"/>
      <c r="FE9" s="2066"/>
      <c r="FF9" s="2066"/>
      <c r="FG9" s="2066"/>
      <c r="FH9" s="2066"/>
      <c r="FI9" s="2066"/>
      <c r="FJ9" s="2066"/>
      <c r="FK9" s="2066"/>
      <c r="FL9" s="516" t="s">
        <v>2584</v>
      </c>
      <c r="FM9" s="516" t="s">
        <v>2584</v>
      </c>
      <c r="FN9" s="516" t="s">
        <v>2584</v>
      </c>
      <c r="FO9" s="516" t="s">
        <v>2584</v>
      </c>
      <c r="FP9" s="516" t="s">
        <v>2584</v>
      </c>
      <c r="FQ9" s="516" t="s">
        <v>3556</v>
      </c>
      <c r="FR9" s="516" t="s">
        <v>3556</v>
      </c>
      <c r="FS9" s="516" t="s">
        <v>3556</v>
      </c>
      <c r="FT9" s="516" t="s">
        <v>3556</v>
      </c>
      <c r="FU9" s="516" t="s">
        <v>3556</v>
      </c>
      <c r="FV9" s="2066"/>
      <c r="FW9" s="2066"/>
      <c r="FX9" s="2066"/>
      <c r="FY9" s="2066"/>
      <c r="FZ9" s="2066"/>
      <c r="GA9" s="2066"/>
      <c r="GB9" s="2066"/>
      <c r="GC9" s="2066"/>
      <c r="GD9" s="2066"/>
      <c r="GE9" s="2066"/>
      <c r="GF9" s="2066"/>
      <c r="GG9" s="2066"/>
      <c r="GH9" s="2066"/>
      <c r="GI9" s="2066"/>
      <c r="GJ9" s="2066"/>
      <c r="GK9" s="2066"/>
      <c r="GL9" s="2066"/>
      <c r="GM9" s="2066"/>
      <c r="GN9" s="2066"/>
      <c r="GO9" s="2066"/>
      <c r="GP9" s="2066"/>
      <c r="GQ9" s="2066"/>
      <c r="GR9" s="2066"/>
      <c r="GS9" s="2066"/>
      <c r="GT9" s="2066"/>
      <c r="GU9" s="2066"/>
      <c r="GV9" s="2066"/>
      <c r="GW9" s="2066"/>
      <c r="GX9" s="2066"/>
      <c r="GY9" s="2066"/>
      <c r="GZ9" s="2066"/>
      <c r="HA9" s="2066"/>
      <c r="HB9" s="2066"/>
      <c r="HC9" s="2066"/>
      <c r="HD9" s="2066"/>
      <c r="HE9" s="2066"/>
      <c r="HF9" s="2066"/>
      <c r="HG9" s="2066"/>
      <c r="HH9" s="2066"/>
      <c r="HI9" s="2066"/>
      <c r="HJ9" s="2066"/>
      <c r="HK9" s="2066"/>
      <c r="HL9" s="2066"/>
      <c r="HM9" s="2066"/>
      <c r="HN9" s="2066"/>
      <c r="HO9" s="2066"/>
      <c r="HP9" s="2066"/>
      <c r="HQ9" s="2066"/>
      <c r="HR9" s="2066"/>
      <c r="HS9" s="2066"/>
      <c r="HT9" s="2066"/>
      <c r="HU9" s="2066"/>
      <c r="HV9" s="2066"/>
      <c r="HW9" s="2066"/>
      <c r="HX9" s="2066"/>
      <c r="HY9" s="2066"/>
      <c r="HZ9" s="2066"/>
      <c r="IA9" s="2066"/>
      <c r="IB9" s="2066"/>
      <c r="IC9" s="2066"/>
      <c r="ID9" s="2066"/>
      <c r="IE9" s="2066"/>
      <c r="IF9" s="2066"/>
      <c r="IG9" s="2066"/>
      <c r="IH9" s="2066"/>
      <c r="II9" s="2066"/>
      <c r="IJ9" s="2066"/>
      <c r="IK9" s="2066"/>
      <c r="IL9" s="2066"/>
      <c r="IM9" s="2066"/>
      <c r="IN9" s="2066"/>
      <c r="IO9" s="2066"/>
      <c r="IP9" s="2066"/>
      <c r="IQ9" s="2066"/>
      <c r="IR9" s="2066"/>
      <c r="IS9" s="2066"/>
      <c r="IT9" s="2066"/>
      <c r="IU9" s="2066"/>
      <c r="IV9" s="2066"/>
      <c r="IW9" s="2066"/>
      <c r="IX9" s="2066"/>
      <c r="IY9" s="2066"/>
      <c r="IZ9" s="2066"/>
      <c r="JA9" s="2066"/>
      <c r="JB9" s="2066"/>
      <c r="JC9" s="2066"/>
      <c r="JD9" s="2066"/>
      <c r="JE9" s="2066"/>
      <c r="JF9" s="2066"/>
      <c r="JG9" s="2066"/>
      <c r="JH9" s="2071"/>
      <c r="JI9" s="2071"/>
      <c r="JJ9" s="2071"/>
      <c r="JK9" s="2071"/>
      <c r="JL9" s="2071"/>
      <c r="JM9" s="2066"/>
      <c r="JN9" s="2066"/>
      <c r="JO9" s="2066"/>
      <c r="JP9" s="2066"/>
      <c r="JQ9" s="2066"/>
      <c r="JR9" s="95"/>
      <c r="JS9" s="95"/>
      <c r="JT9" s="512"/>
      <c r="JU9" s="512"/>
      <c r="JV9" s="512"/>
      <c r="JW9" s="512"/>
      <c r="JX9" s="512"/>
      <c r="JY9" s="512"/>
      <c r="JZ9" s="512"/>
      <c r="KA9" s="512"/>
      <c r="KB9" s="512"/>
      <c r="KC9" s="512"/>
      <c r="KD9" s="512"/>
      <c r="KE9" s="512"/>
      <c r="KF9" s="512"/>
      <c r="KG9" s="512"/>
      <c r="KH9" s="512"/>
      <c r="KI9" s="512"/>
      <c r="KJ9" s="512"/>
    </row>
    <row r="10" spans="1:296" ht="12" customHeight="1">
      <c r="A10" s="115" t="str">
        <f t="shared" ref="A10:A47" si="0">IF(AND(E10&gt;0,OR(B10="",C10="",D10="",F10="",G10="", H10="",M10="",N10="",O10="",P10="")),1,"")</f>
        <v/>
      </c>
      <c r="B10" s="2812" t="s">
        <v>1191</v>
      </c>
      <c r="C10" s="2813" t="s">
        <v>587</v>
      </c>
      <c r="D10" s="2814">
        <v>1</v>
      </c>
      <c r="E10" s="2815">
        <v>3</v>
      </c>
      <c r="F10" s="2815">
        <v>415</v>
      </c>
      <c r="G10" s="2815">
        <v>709</v>
      </c>
      <c r="H10" s="2815">
        <v>875</v>
      </c>
      <c r="I10" s="2815">
        <v>0</v>
      </c>
      <c r="J10" s="2816" t="s">
        <v>4279</v>
      </c>
      <c r="K10" s="794">
        <f t="shared" ref="K10:K47" si="1">MAX(0,H10-I10)</f>
        <v>875</v>
      </c>
      <c r="L10" s="794">
        <f t="shared" ref="L10:L47" si="2">MAX(0,E10*K10)</f>
        <v>2625</v>
      </c>
      <c r="M10" s="2817" t="s">
        <v>3157</v>
      </c>
      <c r="N10" s="2817" t="s">
        <v>4280</v>
      </c>
      <c r="O10" s="2817" t="s">
        <v>4281</v>
      </c>
      <c r="P10" s="2818" t="s">
        <v>3157</v>
      </c>
      <c r="Q10" s="1256">
        <f t="shared" ref="Q10:Q47" si="3">IF(H10="","",H10*12/0.3)</f>
        <v>35000</v>
      </c>
      <c r="R10" s="1257">
        <f>IF(H10="","",IF(C10="Efficiency",Q10/($O$6*VLOOKUP(0,'DCA Underwriting Assumptions'!$J$132:$K$137,2,FALSE)),Q10/($O$6*VLOOKUP(C10,'DCA Underwriting Assumptions'!$J$132:$K$137,2,FALSE))))</f>
        <v>0.7320644216691069</v>
      </c>
      <c r="S10" s="2819"/>
      <c r="T10" s="2820"/>
      <c r="U10" s="2821"/>
      <c r="V10" s="2744"/>
      <c r="W10" s="158">
        <f t="shared" ref="W10:W47" si="4">IF(AND(C10="Efficiency",B10="60% AMI",NOT(M10="Common Space")),E10,"")</f>
        <v>3</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f t="shared" ref="BA10:BA47" si="34">IF(OR(AND($C10="Efficiency",NOT($J10=""),NOT($J10=0),NOT($J10="PHA Oper Sub"),$B10="60% AMI",NOT($M10="Common Space")),AND($C10="Efficiency",NOT($J10=""),NOT($J10=0),NOT($J10="PHA Oper Sub"),$B10="HOME 60% AMI",NOT($M10="Common Space"))),$E10,"")</f>
        <v>3</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f t="shared" ref="BZ10:BZ47" si="59">IF(OR(AND(C10="Efficiency",B10="60% AMI",NOT(M10="Common Space")),AND(C10="Efficiency",B10="HOME 60% AMI",NOT(M10="Common Space"))),E10*F10,"")</f>
        <v>1245</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f t="shared" ref="CT10:CT47" si="79">IF(AND(C10="Efficiency",NOT(J10=""),NOT($J10=0),NOT(M10="Common Space")),E10*F10,"")</f>
        <v>1245</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f t="shared" ref="DS10:DS47" si="104">IF(AND($C10="Efficiency", $O10="Acquisition/Rehab",NOT($B10="Unrestricted"),NOT($B10="NSP 120% AMI"),NOT($B10="N/A-CS"),NOT($M10="Common Space")),$E10,"")</f>
        <v>3</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0">
        <f t="shared" ref="EW10:EW47" si="134">IF(AND($C10="Efficiency", NOT(OR($N10="SF Detached",$N10="Mfd Home",$N10="Duplex",$N10="Townhome"))),$E10,"")</f>
        <v>3</v>
      </c>
      <c r="EX10" s="517" t="str">
        <f t="shared" ref="EX10:EX47" si="135">IF(AND($C10=1, NOT(OR($N10="SF Detached",$N10="Mfd Home",$N10="Duplex",$N10="Townhome"))),$E10,"")</f>
        <v/>
      </c>
      <c r="EY10" s="517" t="str">
        <f t="shared" ref="EY10:EY47" si="136">IF(AND($C10=2, NOT(OR($N10="SF Detached",$N10="Mfd Home",$N10="Duplex",$N10="Townhome"))),$E10,"")</f>
        <v/>
      </c>
      <c r="EZ10" s="517" t="str">
        <f t="shared" ref="EZ10:EZ47" si="137">IF(AND($C10=3, NOT(OR($N10="SF Detached",$N10="Mfd Home",$N10="Duplex",$N10="Townhome"))),$E10,"")</f>
        <v/>
      </c>
      <c r="FA10" s="517" t="str">
        <f t="shared" ref="FA10:FA47" si="138">IF(AND($C10=4, NOT(OR($N10="SF Detached",$N10="Mfd Home",$N10="Duplex",$N10="Townhome"))),$E10,"")</f>
        <v/>
      </c>
      <c r="FB10" s="517" t="str">
        <f t="shared" ref="FB10:FB47" si="139">IF(AND($C10="Efficiency", $N10="SF Detached",NOT($P10="Yes")),$E10,"")</f>
        <v/>
      </c>
      <c r="FC10" s="517" t="str">
        <f t="shared" ref="FC10:FC47" si="140">IF(AND($C10=1, $N10="SF Detached",NOT($P10="Yes")),$E10,"")</f>
        <v/>
      </c>
      <c r="FD10" s="517" t="str">
        <f t="shared" ref="FD10:FD47" si="141">IF(AND($C10=2, $N10="SF Detached",NOT($P10="Yes")),$E10,"")</f>
        <v/>
      </c>
      <c r="FE10" s="517" t="str">
        <f t="shared" ref="FE10:FE47" si="142">IF(AND($C10=3, $N10="SF Detached",NOT($P10="Yes")),$E10,"")</f>
        <v/>
      </c>
      <c r="FF10" s="517" t="str">
        <f t="shared" ref="FF10:FF47" si="143">IF(AND($C10=4, $N10="SF Detached",NOT($P10="Yes")),$E10,"")</f>
        <v/>
      </c>
      <c r="FG10" s="517" t="str">
        <f t="shared" ref="FG10:FG47" si="144">IF(AND($C10="Efficiency", $N10="SF Detached",$P10="Yes"),$E10,"")</f>
        <v/>
      </c>
      <c r="FH10" s="517" t="str">
        <f t="shared" ref="FH10:FH47" si="145">IF(AND($C10=1, $N10="SF Detached",$P10="Yes"),$E10,"")</f>
        <v/>
      </c>
      <c r="FI10" s="517" t="str">
        <f t="shared" ref="FI10:FI47" si="146">IF(AND($C10=2, $N10="SF Detached",$P10="Yes"),$E10,"")</f>
        <v/>
      </c>
      <c r="FJ10" s="517" t="str">
        <f t="shared" ref="FJ10:FJ47" si="147">IF(AND($C10=3, $N10="SF Detached",$P10="Yes"),$E10,"")</f>
        <v/>
      </c>
      <c r="FK10" s="517" t="str">
        <f t="shared" ref="FK10:FK47" si="148">IF(AND($C10=4, $N10="SF Detached",$P10="Yes"),$E10,"")</f>
        <v/>
      </c>
      <c r="FL10" s="517" t="str">
        <f t="shared" ref="FL10:FL47" si="149">IF(AND($C10="Efficiency", $N10="Mfd Home",NOT($P10="Yes")),$E10,"")</f>
        <v/>
      </c>
      <c r="FM10" s="517" t="str">
        <f t="shared" ref="FM10:FM47" si="150">IF(AND($C10=1, $N10="Mfd Home",NOT($P10="Yes")),$E10,"")</f>
        <v/>
      </c>
      <c r="FN10" s="517" t="str">
        <f t="shared" ref="FN10:FN47" si="151">IF(AND($C10=2, $N10="Mfd Home",NOT($P10="Yes")),$E10,"")</f>
        <v/>
      </c>
      <c r="FO10" s="517" t="str">
        <f t="shared" ref="FO10:FO47" si="152">IF(AND($C10=3, $N10="Mfd Home",NOT($P10="Yes")),$E10,"")</f>
        <v/>
      </c>
      <c r="FP10" s="517" t="str">
        <f t="shared" ref="FP10:FP47" si="153">IF(AND($C10=4, $N10="Mfd Home",NOT($P10="Yes")),$E10,"")</f>
        <v/>
      </c>
      <c r="FQ10" s="517" t="str">
        <f t="shared" ref="FQ10:FQ47" si="154">IF(AND($C10="Efficiency", $N10="Mfd Home",$P10="Yes"),$E10,"")</f>
        <v/>
      </c>
      <c r="FR10" s="517" t="str">
        <f t="shared" ref="FR10:FR47" si="155">IF(AND($C10=1, $N10="Mfd Home",$P10="Yes"),$E10,"")</f>
        <v/>
      </c>
      <c r="FS10" s="517" t="str">
        <f t="shared" ref="FS10:FS47" si="156">IF(AND($C10=2, $N10="Mfd Home",$P10="Yes"),$E10,"")</f>
        <v/>
      </c>
      <c r="FT10" s="517" t="str">
        <f t="shared" ref="FT10:FT47" si="157">IF(AND($C10=3, $N10="Mfd Home",$P10="Yes"),$E10,"")</f>
        <v/>
      </c>
      <c r="FU10" s="517" t="str">
        <f t="shared" ref="FU10:FU47" si="158">IF(AND($C10=4, $N10="Mfd Home",$P10="Yes"),$E10,"")</f>
        <v/>
      </c>
      <c r="FV10" s="517" t="str">
        <f t="shared" ref="FV10:FV47" si="159">IF(AND($C10="Efficiency", $N10="Duplex",NOT($P10="Yes")),$E10,"")</f>
        <v/>
      </c>
      <c r="FW10" s="517" t="str">
        <f t="shared" ref="FW10:FW47" si="160">IF(AND($C10=1, $N10="Duplex",NOT($P10="Yes")),$E10,"")</f>
        <v/>
      </c>
      <c r="FX10" s="517" t="str">
        <f t="shared" ref="FX10:FX47" si="161">IF(AND($C10=2, $N10="Duplex",NOT($P10="Yes")),$E10,"")</f>
        <v/>
      </c>
      <c r="FY10" s="517" t="str">
        <f t="shared" ref="FY10:FY47" si="162">IF(AND($C10=3, $N10="Duplex",NOT($P10="Yes")),$E10,"")</f>
        <v/>
      </c>
      <c r="FZ10" s="517" t="str">
        <f t="shared" ref="FZ10:FZ47" si="163">IF(AND($C10=4, $N10="Duplex",NOT($P10="Yes")),$E10,"")</f>
        <v/>
      </c>
      <c r="GA10" s="517" t="str">
        <f t="shared" ref="GA10:GA47" si="164">IF(AND($C10="Efficiency", $N10="Duplex",$P10="Yes"),$E10,"")</f>
        <v/>
      </c>
      <c r="GB10" s="517" t="str">
        <f t="shared" ref="GB10:GB47" si="165">IF(AND($C10=1, $N10="Duplex",$P10="Yes"),$E10,"")</f>
        <v/>
      </c>
      <c r="GC10" s="517" t="str">
        <f t="shared" ref="GC10:GC47" si="166">IF(AND($C10=2, $N10="Duplex",$P10="Yes"),$E10,"")</f>
        <v/>
      </c>
      <c r="GD10" s="517" t="str">
        <f t="shared" ref="GD10:GD47" si="167">IF(AND($C10=3, $N10="Duplex",$P10="Yes"),$E10,"")</f>
        <v/>
      </c>
      <c r="GE10" s="517" t="str">
        <f t="shared" ref="GE10:GE47" si="168">IF(AND($C10=4, $N10="Duplex",$P10="Yes"),$E10,"")</f>
        <v/>
      </c>
      <c r="GF10" s="517" t="str">
        <f t="shared" ref="GF10:GF47" si="169">IF(AND($C10="Efficiency", $N10="Townhome",NOT($P10="Yes")),$E10,"")</f>
        <v/>
      </c>
      <c r="GG10" s="517" t="str">
        <f t="shared" ref="GG10:GG47" si="170">IF(AND($C10=1, $N10="Townhome",NOT($P10="Yes")),$E10,"")</f>
        <v/>
      </c>
      <c r="GH10" s="517" t="str">
        <f t="shared" ref="GH10:GH47" si="171">IF(AND($C10=2, $N10="Townhome",NOT($P10="Yes")),$E10,"")</f>
        <v/>
      </c>
      <c r="GI10" s="517" t="str">
        <f t="shared" ref="GI10:GI47" si="172">IF(AND($C10=3, $N10="Townhome",NOT($P10="Yes")),$E10,"")</f>
        <v/>
      </c>
      <c r="GJ10" s="517" t="str">
        <f t="shared" ref="GJ10:GJ47" si="173">IF(AND($C10=4, $N10="Townhome",NOT($P10="Yes")),$E10,"")</f>
        <v/>
      </c>
      <c r="GK10" s="517" t="str">
        <f t="shared" ref="GK10:GK47" si="174">IF(AND($C10="Efficiency", $N10="Townhome",$P10="Yes"),$E10,"")</f>
        <v/>
      </c>
      <c r="GL10" s="517" t="str">
        <f t="shared" ref="GL10:GL47" si="175">IF(AND($C10=1, $N10="Townhome",$P10="Yes"),$E10,"")</f>
        <v/>
      </c>
      <c r="GM10" s="517" t="str">
        <f t="shared" ref="GM10:GM47" si="176">IF(AND($C10=2, $N10="Townhome",$P10="Yes"),$E10,"")</f>
        <v/>
      </c>
      <c r="GN10" s="517" t="str">
        <f t="shared" ref="GN10:GN47" si="177">IF(AND($C10=3, $N10="Townhome",$P10="Yes"),$E10,"")</f>
        <v/>
      </c>
      <c r="GO10" s="517" t="str">
        <f t="shared" ref="GO10:GO47" si="178">IF(AND($C10=4, $N10="Townhome",$P10="Yes"),$E10,"")</f>
        <v/>
      </c>
      <c r="GP10" s="517" t="str">
        <f t="shared" ref="GP10:GP47" si="179">IF(AND($C10="Efficiency", $N10="1-Story",NOT($P10="Yes")),$E10,"")</f>
        <v/>
      </c>
      <c r="GQ10" s="517" t="str">
        <f t="shared" ref="GQ10:GQ47" si="180">IF(AND($C10=1, $N10="1-Story",NOT($P10="Yes")),$E10,"")</f>
        <v/>
      </c>
      <c r="GR10" s="517" t="str">
        <f t="shared" ref="GR10:GR47" si="181">IF(AND($C10=2, $N10="1-Story",NOT($P10="Yes")),$E10,"")</f>
        <v/>
      </c>
      <c r="GS10" s="517" t="str">
        <f t="shared" ref="GS10:GS47" si="182">IF(AND($C10=3, $N10="1-Story",NOT($P10="Yes")),$E10,"")</f>
        <v/>
      </c>
      <c r="GT10" s="517" t="str">
        <f t="shared" ref="GT10:GT47" si="183">IF(AND($C10=4, $N10="1-Story",NOT($P10="Yes")),$E10,"")</f>
        <v/>
      </c>
      <c r="GU10" s="517" t="str">
        <f t="shared" ref="GU10:GU47" si="184">IF(AND($C10="Efficiency", $N10="1-Story",$P10="Yes"),$E10,"")</f>
        <v/>
      </c>
      <c r="GV10" s="517" t="str">
        <f t="shared" ref="GV10:GV47" si="185">IF(AND($C10=1, $N10="1-Story",$P10="Yes"),$E10,"")</f>
        <v/>
      </c>
      <c r="GW10" s="517" t="str">
        <f t="shared" ref="GW10:GW47" si="186">IF(AND($C10=2, $N10="1-Story",$P10="Yes"),$E10,"")</f>
        <v/>
      </c>
      <c r="GX10" s="517" t="str">
        <f t="shared" ref="GX10:GX47" si="187">IF(AND($C10=3, $N10="1-Story",$P10="Yes"),$E10,"")</f>
        <v/>
      </c>
      <c r="GY10" s="517" t="str">
        <f t="shared" ref="GY10:GY47" si="188">IF(AND($C10=4, $N10="1-Story",$P10="Yes"),$E10,"")</f>
        <v/>
      </c>
      <c r="GZ10" s="517" t="str">
        <f t="shared" ref="GZ10:GZ47" si="189">IF(AND($C10="Efficiency", $N10="2-Story",NOT($P10="Yes")),$E10,"")</f>
        <v/>
      </c>
      <c r="HA10" s="517" t="str">
        <f t="shared" ref="HA10:HA47" si="190">IF(AND($C10=1, $N10="2-Story",NOT($P10="Yes")),$E10,"")</f>
        <v/>
      </c>
      <c r="HB10" s="517" t="str">
        <f t="shared" ref="HB10:HB47" si="191">IF(AND($C10=2, $N10="2-Story",NOT($P10="Yes")),$E10,"")</f>
        <v/>
      </c>
      <c r="HC10" s="517" t="str">
        <f t="shared" ref="HC10:HC47" si="192">IF(AND($C10=3, $N10="2-Story",NOT($P10="Yes")),$E10,"")</f>
        <v/>
      </c>
      <c r="HD10" s="517" t="str">
        <f t="shared" ref="HD10:HD47" si="193">IF(AND($C10=4, $N10="2-Story",NOT($P10="Yes")),$E10,"")</f>
        <v/>
      </c>
      <c r="HE10" s="517" t="str">
        <f t="shared" ref="HE10:HE47" si="194">IF(AND($C10="Efficiency", $N10="2-Story",$P10="Yes"),$E10,"")</f>
        <v/>
      </c>
      <c r="HF10" s="517" t="str">
        <f t="shared" ref="HF10:HF47" si="195">IF(AND($C10=1, $N10="2-Story",$P10="Yes"),$E10,"")</f>
        <v/>
      </c>
      <c r="HG10" s="517" t="str">
        <f t="shared" ref="HG10:HG47" si="196">IF(AND($C10=2, $N10="2-Story",$P10="Yes"),$E10,"")</f>
        <v/>
      </c>
      <c r="HH10" s="517" t="str">
        <f t="shared" ref="HH10:HH47" si="197">IF(AND($C10=3, $N10="2-Story",$P10="Yes"),$E10,"")</f>
        <v/>
      </c>
      <c r="HI10" s="517" t="str">
        <f t="shared" ref="HI10:HI47" si="198">IF(AND($C10=4, $N10="2-Story",$P10="Yes"),$E10,"")</f>
        <v/>
      </c>
      <c r="HJ10" s="517" t="str">
        <f t="shared" ref="HJ10:HJ47" si="199">IF(AND($C10="Efficiency", $N10="2-Story Walkup",NOT($P10="Yes")),$E10,"")</f>
        <v/>
      </c>
      <c r="HK10" s="517" t="str">
        <f t="shared" ref="HK10:HK47" si="200">IF(AND($C10=1, $N10="2-Story Walkup",NOT($P10="Yes")),$E10,"")</f>
        <v/>
      </c>
      <c r="HL10" s="517" t="str">
        <f t="shared" ref="HL10:HL47" si="201">IF(AND($C10=2, $N10="2-Story Walkup",NOT($P10="Yes")),$E10,"")</f>
        <v/>
      </c>
      <c r="HM10" s="517" t="str">
        <f t="shared" ref="HM10:HM47" si="202">IF(AND($C10=3, $N10="2-Story Walkup",NOT($P10="Yes")),$E10,"")</f>
        <v/>
      </c>
      <c r="HN10" s="517" t="str">
        <f t="shared" ref="HN10:HN47" si="203">IF(AND($C10=4, $N10="2-Story Walkup",NOT($P10="Yes")),$E10,"")</f>
        <v/>
      </c>
      <c r="HO10" s="517" t="str">
        <f t="shared" ref="HO10:HO47" si="204">IF(AND($C10="Efficiency", $N10="2-Story Walkup",$P10="Yes"),$E10,"")</f>
        <v/>
      </c>
      <c r="HP10" s="517" t="str">
        <f t="shared" ref="HP10:HP47" si="205">IF(AND($C10=1, $N10="2-Story Walkup",$P10="Yes"),$E10,"")</f>
        <v/>
      </c>
      <c r="HQ10" s="517" t="str">
        <f t="shared" ref="HQ10:HQ47" si="206">IF(AND($C10=2, $N10="2-Story Walkup",$P10="Yes"),$E10,"")</f>
        <v/>
      </c>
      <c r="HR10" s="517" t="str">
        <f t="shared" ref="HR10:HR47" si="207">IF(AND($C10=3, $N10="2-Story Walkup",$P10="Yes"),$E10,"")</f>
        <v/>
      </c>
      <c r="HS10" s="517" t="str">
        <f t="shared" ref="HS10:HS47" si="208">IF(AND($C10=4, $N10="2-Story Walkup",$P10="Yes"),$E10,"")</f>
        <v/>
      </c>
      <c r="HT10" s="517">
        <f t="shared" ref="HT10:HT47" si="209">IF(AND($C10="Efficiency", $N10="3+ Story",NOT($P10="Yes")),$E10,"")</f>
        <v>3</v>
      </c>
      <c r="HU10" s="517" t="str">
        <f t="shared" ref="HU10:HU47" si="210">IF(AND($C10=1, $N10="3+ Story",NOT($P10="Yes")),$E10,"")</f>
        <v/>
      </c>
      <c r="HV10" s="517" t="str">
        <f t="shared" ref="HV10:HV47" si="211">IF(AND($C10=2, $N10="3+ Story",NOT($P10="Yes")),$E10,"")</f>
        <v/>
      </c>
      <c r="HW10" s="517" t="str">
        <f t="shared" ref="HW10:HW47" si="212">IF(AND($C10=3, $N10="3+ Story",NOT($P10="Yes")),$E10,"")</f>
        <v/>
      </c>
      <c r="HX10" s="517" t="str">
        <f t="shared" ref="HX10:HX47" si="213">IF(AND($C10=4, $N10="3+ Story",NOT($P10="Yes")),$E10,"")</f>
        <v/>
      </c>
      <c r="HY10" s="517" t="str">
        <f t="shared" ref="HY10:HY47" si="214">IF(AND($C10="Efficiency", $N10="3+ Story",$P10="Yes"),$E10,"")</f>
        <v/>
      </c>
      <c r="HZ10" s="517" t="str">
        <f t="shared" ref="HZ10:HZ47" si="215">IF(AND($C10=1, $N10="3+ Story",$P10="Yes"),$E10,"")</f>
        <v/>
      </c>
      <c r="IA10" s="517" t="str">
        <f t="shared" ref="IA10:IA47" si="216">IF(AND($C10=2, $N10="3+ Story",$P10="Yes"),$E10,"")</f>
        <v/>
      </c>
      <c r="IB10" s="517" t="str">
        <f t="shared" ref="IB10:IB47" si="217">IF(AND($C10=3, $N10="3+ Story",$P10="Yes"),$E10,"")</f>
        <v/>
      </c>
      <c r="IC10" s="517" t="str">
        <f t="shared" ref="IC10:IC47" si="218">IF(AND($C10=4, $N10="3+ Story",$P10="Yes"),$E10,"")</f>
        <v/>
      </c>
      <c r="ID10" s="518" t="str">
        <f t="shared" ref="ID10:ID47" si="219">IF(AND($B10="NSP 120% AMI",$C10="Efficiency", NOT($M10="Common Space")),$E10,"")</f>
        <v/>
      </c>
      <c r="IE10" s="518" t="str">
        <f t="shared" ref="IE10:IE47" si="220">IF(AND($B10="NSP 120% AMI",$C10=1,NOT($M10="Common Space")),$E10,"")</f>
        <v/>
      </c>
      <c r="IF10" s="518" t="str">
        <f t="shared" ref="IF10:IF47" si="221">IF(AND($B10="NSP 120% AMI",$C10=2,NOT($M10="Common Space")),$E10,"")</f>
        <v/>
      </c>
      <c r="IG10" s="518" t="str">
        <f t="shared" ref="IG10:IG47" si="222">IF(AND($B10="NSP 120% AMI",$C10=3,NOT($M10="Common Space")),$E10,"")</f>
        <v/>
      </c>
      <c r="IH10" s="518" t="str">
        <f t="shared" ref="IH10:IH47" si="223">IF(AND($B10="NSP 120% AMI",$C10=4,NOT($M10="Common Space")),$E10,"")</f>
        <v/>
      </c>
      <c r="II10" s="507" t="str">
        <f t="shared" ref="II10:II47" si="224">IF(AND(C10="Efficiency",B10="NSP 120% AMI",NOT(M10="Common Space")),E10*F10,"")</f>
        <v/>
      </c>
      <c r="IJ10" s="507" t="str">
        <f t="shared" ref="IJ10:IJ47" si="225">IF(AND(C10=1,B10="NSP 120% AMI",NOT(M10="Common Space")),E10*F10,"")</f>
        <v/>
      </c>
      <c r="IK10" s="507" t="str">
        <f t="shared" ref="IK10:IK47" si="226">IF(AND(C10=2,B10="NSP 120% AMI",NOT(M10="Common Space")),E10*F10,"")</f>
        <v/>
      </c>
      <c r="IL10" s="507" t="str">
        <f t="shared" ref="IL10:IL47" si="227">IF(AND(C10=3,B10="NSP 120% AMI",NOT(M10="Common Space")),E10*F10,"")</f>
        <v/>
      </c>
      <c r="IM10" s="507" t="str">
        <f t="shared" ref="IM10:IM47" si="228">IF(AND(C10=4,B10="NSP 120% AMI",NOT(M10="Common Space")),E10*F10,"")</f>
        <v/>
      </c>
      <c r="IN10" s="507" t="str">
        <f t="shared" ref="IN10:IN47" si="229">IF(AND($C10="Efficiency", $O10="New Construction",$B10="NSP 120% AMI",NOT($M10="Common Space")),$E10,"")</f>
        <v/>
      </c>
      <c r="IO10" s="507" t="str">
        <f t="shared" ref="IO10:IO47" si="230">IF(AND($C10=1, $O10="New Construction",$B10="NSP 120% AMI",NOT($M10="Common Space")),$E10,"")</f>
        <v/>
      </c>
      <c r="IP10" s="507" t="str">
        <f t="shared" ref="IP10:IP47" si="231">IF(AND($C10=2, $O10="New Construction",$B10="NSP 120% AMI",NOT($M10="Common Space")),$E10,"")</f>
        <v/>
      </c>
      <c r="IQ10" s="507" t="str">
        <f t="shared" ref="IQ10:IQ47" si="232">IF(AND($C10=3, $O10="New Construction",$B10="NSP 120% AMI",NOT($M10="Common Space")),$E10,"")</f>
        <v/>
      </c>
      <c r="IR10" s="507" t="str">
        <f t="shared" ref="IR10:IR47" si="233">IF(AND($C10=4, $O10="New Construction",$B10="NSP 120% AMI",NOT($M10="Common Space")),$E10,"")</f>
        <v/>
      </c>
      <c r="IS10" s="507" t="str">
        <f t="shared" ref="IS10:IS47" si="234">IF(AND($C10="Efficiency", $O10="Acquisition/Rehab",$B10="NSP 120% AMI",NOT($M10="Common Space")),$E10,"")</f>
        <v/>
      </c>
      <c r="IT10" s="507" t="str">
        <f t="shared" ref="IT10:IT47" si="235">IF(AND($C10=1, $O10="Acquisition/Rehab",$B10="NSP 120% AMI",NOT($M10="Common Space")),$E10,"")</f>
        <v/>
      </c>
      <c r="IU10" s="507" t="str">
        <f t="shared" ref="IU10:IU47" si="236">IF(AND($C10=2, $O10="Acquisition/Rehab",$B10="NSP 120% AMI",NOT($M10="Common Space")),$E10,"")</f>
        <v/>
      </c>
      <c r="IV10" s="507" t="str">
        <f t="shared" ref="IV10:IV47" si="237">IF(AND($C10=3, $O10="Acquisition/Rehab",$B10="NSP 120% AMI",NOT($M10="Common Space")),$E10,"")</f>
        <v/>
      </c>
      <c r="IW10" s="507" t="str">
        <f t="shared" ref="IW10:IW47" si="238">IF(AND($C10=4, $O10="Acquisition/Rehab",$B10="NSP 120% AMI",NOT($M10="Common Space")),$E10,"")</f>
        <v/>
      </c>
      <c r="IX10" s="507" t="str">
        <f t="shared" ref="IX10:IX47" si="239">IF(AND($C10="Efficiency", $O10="Rehabilitation",$B10="NSP 120% AMI",NOT($M10="Common Space")),$E10,"")</f>
        <v/>
      </c>
      <c r="IY10" s="507" t="str">
        <f t="shared" ref="IY10:IY47" si="240">IF(AND($C10=1, $O10="Rehabilitation",$B10="NSP 120% AMI",NOT($M10="Common Space")),$E10,"")</f>
        <v/>
      </c>
      <c r="IZ10" s="507" t="str">
        <f t="shared" ref="IZ10:IZ47" si="241">IF(AND($C10=2, $O10="Rehabilitation",$B10="NSP 120% AMI",NOT($M10="Common Space")),$E10,"")</f>
        <v/>
      </c>
      <c r="JA10" s="507" t="str">
        <f t="shared" ref="JA10:JA47" si="242">IF(AND($C10=3, $O10="Rehabilitation",$B10="NSP 120% AMI",NOT($M10="Common Space")),$E10,"")</f>
        <v/>
      </c>
      <c r="JB10" s="507" t="str">
        <f t="shared" ref="JB10:JB47" si="243">IF(AND($C10=4, $O10="Rehabilitation",$B10="NSP 120% AMI",NOT($M10="Common Space")),$E10,"")</f>
        <v/>
      </c>
      <c r="JC10" s="516">
        <f>IF(AND($C10="Efficiency",$E10&gt;0,OR($N10="1-Story",$N10="2-Story",$N10="3+ Story",$N10="2-Story Walkup",$N10="Townhome"),OR($O10="Acquisition/Rehab",$O10="Rehabilitation"),NOT($P10="Yes")),$E10,0)</f>
        <v>3</v>
      </c>
      <c r="JD10" s="516">
        <f>IF(AND($C10=1,$E10&gt;0,OR($N10="1-Story",$N10="2-Story",$N10="3+ Story",$N10="2-Story Walkup",$N10="Townhome"),OR($O10="Acquisition/Rehab",$O10="Rehabilitation"),NOT($P10="Yes")),$E10,0)</f>
        <v>0</v>
      </c>
      <c r="JE10" s="516">
        <f>IF(AND($C10=2,$E10&gt;0,OR($N10="1-Story",$N10="2-Story",$N10="3+ Story",$N10="2-Story Walkup",$N10="Townhome"),OR($O10="Acquisition/Rehab",$O10="Rehabilitation"),NOT($P10="Yes")),$E10,0)</f>
        <v>0</v>
      </c>
      <c r="JF10" s="516">
        <f>IF(AND($C10=3,$E10&gt;0,OR($N10="1-Story",$N10="2-Story",$N10="3+ Story",$N10="2-Story Walkup",$N10="Townhome"),OR($O10="Acquisition/Rehab",$O10="Rehabilitation"),NOT($P10="Yes")),$E10,0)</f>
        <v>0</v>
      </c>
      <c r="JG10" s="516">
        <f>IF(AND($C10=4,$E10&gt;0,OR($N10="1-Story",$N10="2-Story",$N10="3+ Story",$N10="2-Story Walkup",$N10="Townhome"),OR($O10="Acquisition/Rehab",$O10="Rehabilitation"),NOT($P10="Yes")),$E10,0)</f>
        <v>0</v>
      </c>
      <c r="JH10" s="516">
        <f>IF(AND($C10="Efficiency",$E10&gt;0,OR($N10="1-Story",$N10="2-Story",$N10="3+ Story",$N10="2-Story Walkup",$N10="Townhome"),$O10="New Construction"),$E10,0)</f>
        <v>0</v>
      </c>
      <c r="JI10" s="516">
        <f>IF(AND($C10=1,$E10&gt;0,OR($N10="1-Story",$N10="2-Story",$N10="3+ Story",$N10="2-Story Walkup",$N10="Townhome"),$O10="New Construction"),$E10,0)</f>
        <v>0</v>
      </c>
      <c r="JJ10" s="516">
        <f>IF(AND($C10=2,$E10&gt;0,OR($N10="1-Story",$N10="2-Story",$N10="3+ Story",$N10="2-Story Walkup",$N10="Townhome"),$O10="New Construction"),$E10,0)</f>
        <v>0</v>
      </c>
      <c r="JK10" s="516">
        <f>IF(AND($C10=3,$E10&gt;0,OR($N10="1-Story",$N10="2-Story",$N10="3+ Story",$N10="2-Story Walkup",$N10="Townhome"),$O10="New Construction"),$E10,0)</f>
        <v>0</v>
      </c>
      <c r="JL10" s="516">
        <f>IF(AND($C10=4,$E10&gt;0,OR($N10="1-Story",$N10="2-Story",$N10="3+ Story",$N10="2-Story Walkup",$N10="Townhome"),$O10="New Construction"),$E10,0)</f>
        <v>0</v>
      </c>
      <c r="JM10" s="516">
        <f>IF(AND($C10="Efficiency",$E10&gt;0,OR($N10="SF Detached",$N10="Duplex",$N10="Mfd Home"),NOT($P10="Yes")),$E10,0)</f>
        <v>0</v>
      </c>
      <c r="JN10" s="516">
        <f>IF(AND($C10=1,$E10&gt;0,OR($N10="SF Detached",$N10="Duplex",$N10="Mfd Home"),NOT($P10="Yes")),$E10,0)</f>
        <v>0</v>
      </c>
      <c r="JO10" s="516">
        <f>IF(AND($C10=2,$E10&gt;0,OR($N10="SF Detached",$N10="Duplex",$N10="Mfd Home"),NOT($P10="Yes")),$E10,0)</f>
        <v>0</v>
      </c>
      <c r="JP10" s="516">
        <f>IF(AND($C10=3,$E10&gt;0,OR($N10="SF Detached",$N10="Duplex",$N10="Mfd Home"),NOT($P10="Yes")),$E10,0)</f>
        <v>0</v>
      </c>
      <c r="JQ10" s="516">
        <f>IF(AND($C10=4,$E10&gt;0,OR($N10="SF Detached",$N10="Duplex",$N10="Mfd Home"),NOT($P10="Yes")),$E10,0)</f>
        <v>0</v>
      </c>
    </row>
    <row r="11" spans="1:296" ht="12" customHeight="1">
      <c r="A11" s="115" t="str">
        <f t="shared" si="0"/>
        <v/>
      </c>
      <c r="B11" s="2822" t="s">
        <v>1191</v>
      </c>
      <c r="C11" s="2823">
        <v>1</v>
      </c>
      <c r="D11" s="2824">
        <v>1</v>
      </c>
      <c r="E11" s="2825">
        <v>39</v>
      </c>
      <c r="F11" s="2825">
        <v>501</v>
      </c>
      <c r="G11" s="2825">
        <v>759</v>
      </c>
      <c r="H11" s="2825">
        <v>1000</v>
      </c>
      <c r="I11" s="2825">
        <v>0</v>
      </c>
      <c r="J11" s="2826" t="s">
        <v>4279</v>
      </c>
      <c r="K11" s="795">
        <f t="shared" si="1"/>
        <v>1000</v>
      </c>
      <c r="L11" s="795">
        <f t="shared" si="2"/>
        <v>39000</v>
      </c>
      <c r="M11" s="2827" t="s">
        <v>3157</v>
      </c>
      <c r="N11" s="2827" t="s">
        <v>4280</v>
      </c>
      <c r="O11" s="2827" t="s">
        <v>4281</v>
      </c>
      <c r="P11" s="2828" t="s">
        <v>3157</v>
      </c>
      <c r="Q11" s="1258">
        <f t="shared" si="3"/>
        <v>40000</v>
      </c>
      <c r="R11" s="1259">
        <f>IF(H11="","",IF(C11="Efficiency",Q11/($O$6*VLOOKUP(0,'DCA Underwriting Assumptions'!$J$132:$K$137,2,FALSE)),Q11/($O$6*VLOOKUP(C11,'DCA Underwriting Assumptions'!$J$132:$K$137,2,FALSE))))</f>
        <v>0.78086871644704736</v>
      </c>
      <c r="S11" s="2829"/>
      <c r="T11" s="2830"/>
      <c r="U11" s="2831"/>
      <c r="V11" s="2746"/>
      <c r="W11" s="158" t="str">
        <f t="shared" si="4"/>
        <v/>
      </c>
      <c r="X11" s="158">
        <f t="shared" si="5"/>
        <v>39</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f t="shared" si="35"/>
        <v>39</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19539</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19539</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f t="shared" si="105"/>
        <v>39</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0" t="str">
        <f t="shared" si="134"/>
        <v/>
      </c>
      <c r="EX11" s="517">
        <f t="shared" si="135"/>
        <v>39</v>
      </c>
      <c r="EY11" s="517" t="str">
        <f t="shared" si="136"/>
        <v/>
      </c>
      <c r="EZ11" s="517" t="str">
        <f t="shared" si="137"/>
        <v/>
      </c>
      <c r="FA11" s="517" t="str">
        <f t="shared" si="138"/>
        <v/>
      </c>
      <c r="FB11" s="517" t="str">
        <f t="shared" si="139"/>
        <v/>
      </c>
      <c r="FC11" s="517" t="str">
        <f t="shared" si="140"/>
        <v/>
      </c>
      <c r="FD11" s="517" t="str">
        <f t="shared" si="141"/>
        <v/>
      </c>
      <c r="FE11" s="517" t="str">
        <f t="shared" si="142"/>
        <v/>
      </c>
      <c r="FF11" s="517" t="str">
        <f t="shared" si="143"/>
        <v/>
      </c>
      <c r="FG11" s="517" t="str">
        <f t="shared" si="144"/>
        <v/>
      </c>
      <c r="FH11" s="517" t="str">
        <f t="shared" si="145"/>
        <v/>
      </c>
      <c r="FI11" s="517" t="str">
        <f t="shared" si="146"/>
        <v/>
      </c>
      <c r="FJ11" s="517" t="str">
        <f t="shared" si="147"/>
        <v/>
      </c>
      <c r="FK11" s="517" t="str">
        <f t="shared" si="148"/>
        <v/>
      </c>
      <c r="FL11" s="517" t="str">
        <f t="shared" si="149"/>
        <v/>
      </c>
      <c r="FM11" s="517" t="str">
        <f t="shared" si="150"/>
        <v/>
      </c>
      <c r="FN11" s="517" t="str">
        <f t="shared" si="151"/>
        <v/>
      </c>
      <c r="FO11" s="517" t="str">
        <f t="shared" si="152"/>
        <v/>
      </c>
      <c r="FP11" s="517" t="str">
        <f t="shared" si="153"/>
        <v/>
      </c>
      <c r="FQ11" s="517" t="str">
        <f t="shared" si="154"/>
        <v/>
      </c>
      <c r="FR11" s="517" t="str">
        <f t="shared" si="155"/>
        <v/>
      </c>
      <c r="FS11" s="517" t="str">
        <f t="shared" si="156"/>
        <v/>
      </c>
      <c r="FT11" s="517" t="str">
        <f t="shared" si="157"/>
        <v/>
      </c>
      <c r="FU11" s="517" t="str">
        <f t="shared" si="158"/>
        <v/>
      </c>
      <c r="FV11" s="517" t="str">
        <f t="shared" si="159"/>
        <v/>
      </c>
      <c r="FW11" s="517" t="str">
        <f t="shared" si="160"/>
        <v/>
      </c>
      <c r="FX11" s="517" t="str">
        <f t="shared" si="161"/>
        <v/>
      </c>
      <c r="FY11" s="517" t="str">
        <f t="shared" si="162"/>
        <v/>
      </c>
      <c r="FZ11" s="517" t="str">
        <f t="shared" si="163"/>
        <v/>
      </c>
      <c r="GA11" s="517" t="str">
        <f t="shared" si="164"/>
        <v/>
      </c>
      <c r="GB11" s="517" t="str">
        <f t="shared" si="165"/>
        <v/>
      </c>
      <c r="GC11" s="517" t="str">
        <f t="shared" si="166"/>
        <v/>
      </c>
      <c r="GD11" s="517" t="str">
        <f t="shared" si="167"/>
        <v/>
      </c>
      <c r="GE11" s="517" t="str">
        <f t="shared" si="168"/>
        <v/>
      </c>
      <c r="GF11" s="517" t="str">
        <f t="shared" si="169"/>
        <v/>
      </c>
      <c r="GG11" s="517" t="str">
        <f t="shared" si="170"/>
        <v/>
      </c>
      <c r="GH11" s="517" t="str">
        <f t="shared" si="171"/>
        <v/>
      </c>
      <c r="GI11" s="517" t="str">
        <f t="shared" si="172"/>
        <v/>
      </c>
      <c r="GJ11" s="517" t="str">
        <f t="shared" si="173"/>
        <v/>
      </c>
      <c r="GK11" s="517" t="str">
        <f t="shared" si="174"/>
        <v/>
      </c>
      <c r="GL11" s="517" t="str">
        <f t="shared" si="175"/>
        <v/>
      </c>
      <c r="GM11" s="517" t="str">
        <f t="shared" si="176"/>
        <v/>
      </c>
      <c r="GN11" s="517" t="str">
        <f t="shared" si="177"/>
        <v/>
      </c>
      <c r="GO11" s="517" t="str">
        <f t="shared" si="178"/>
        <v/>
      </c>
      <c r="GP11" s="517" t="str">
        <f t="shared" si="179"/>
        <v/>
      </c>
      <c r="GQ11" s="517" t="str">
        <f t="shared" si="180"/>
        <v/>
      </c>
      <c r="GR11" s="517" t="str">
        <f t="shared" si="181"/>
        <v/>
      </c>
      <c r="GS11" s="517" t="str">
        <f t="shared" si="182"/>
        <v/>
      </c>
      <c r="GT11" s="517" t="str">
        <f t="shared" si="183"/>
        <v/>
      </c>
      <c r="GU11" s="517" t="str">
        <f t="shared" si="184"/>
        <v/>
      </c>
      <c r="GV11" s="517" t="str">
        <f t="shared" si="185"/>
        <v/>
      </c>
      <c r="GW11" s="517" t="str">
        <f t="shared" si="186"/>
        <v/>
      </c>
      <c r="GX11" s="517" t="str">
        <f t="shared" si="187"/>
        <v/>
      </c>
      <c r="GY11" s="517" t="str">
        <f t="shared" si="188"/>
        <v/>
      </c>
      <c r="GZ11" s="517" t="str">
        <f t="shared" si="189"/>
        <v/>
      </c>
      <c r="HA11" s="517" t="str">
        <f t="shared" si="190"/>
        <v/>
      </c>
      <c r="HB11" s="517" t="str">
        <f t="shared" si="191"/>
        <v/>
      </c>
      <c r="HC11" s="517" t="str">
        <f t="shared" si="192"/>
        <v/>
      </c>
      <c r="HD11" s="517" t="str">
        <f t="shared" si="193"/>
        <v/>
      </c>
      <c r="HE11" s="517" t="str">
        <f t="shared" si="194"/>
        <v/>
      </c>
      <c r="HF11" s="517" t="str">
        <f t="shared" si="195"/>
        <v/>
      </c>
      <c r="HG11" s="517" t="str">
        <f t="shared" si="196"/>
        <v/>
      </c>
      <c r="HH11" s="517" t="str">
        <f t="shared" si="197"/>
        <v/>
      </c>
      <c r="HI11" s="517" t="str">
        <f t="shared" si="198"/>
        <v/>
      </c>
      <c r="HJ11" s="517" t="str">
        <f t="shared" si="199"/>
        <v/>
      </c>
      <c r="HK11" s="517" t="str">
        <f t="shared" si="200"/>
        <v/>
      </c>
      <c r="HL11" s="517" t="str">
        <f t="shared" si="201"/>
        <v/>
      </c>
      <c r="HM11" s="517" t="str">
        <f t="shared" si="202"/>
        <v/>
      </c>
      <c r="HN11" s="517" t="str">
        <f t="shared" si="203"/>
        <v/>
      </c>
      <c r="HO11" s="517" t="str">
        <f t="shared" si="204"/>
        <v/>
      </c>
      <c r="HP11" s="517" t="str">
        <f t="shared" si="205"/>
        <v/>
      </c>
      <c r="HQ11" s="517" t="str">
        <f t="shared" si="206"/>
        <v/>
      </c>
      <c r="HR11" s="517" t="str">
        <f t="shared" si="207"/>
        <v/>
      </c>
      <c r="HS11" s="517" t="str">
        <f t="shared" si="208"/>
        <v/>
      </c>
      <c r="HT11" s="517" t="str">
        <f t="shared" si="209"/>
        <v/>
      </c>
      <c r="HU11" s="517">
        <f t="shared" si="210"/>
        <v>39</v>
      </c>
      <c r="HV11" s="517" t="str">
        <f t="shared" si="211"/>
        <v/>
      </c>
      <c r="HW11" s="517" t="str">
        <f t="shared" si="212"/>
        <v/>
      </c>
      <c r="HX11" s="517" t="str">
        <f t="shared" si="213"/>
        <v/>
      </c>
      <c r="HY11" s="517" t="str">
        <f t="shared" si="214"/>
        <v/>
      </c>
      <c r="HZ11" s="517" t="str">
        <f t="shared" si="215"/>
        <v/>
      </c>
      <c r="IA11" s="517" t="str">
        <f t="shared" si="216"/>
        <v/>
      </c>
      <c r="IB11" s="517" t="str">
        <f t="shared" si="217"/>
        <v/>
      </c>
      <c r="IC11" s="517" t="str">
        <f t="shared" si="218"/>
        <v/>
      </c>
      <c r="ID11" s="518" t="str">
        <f t="shared" si="219"/>
        <v/>
      </c>
      <c r="IE11" s="518" t="str">
        <f t="shared" si="220"/>
        <v/>
      </c>
      <c r="IF11" s="518" t="str">
        <f t="shared" si="221"/>
        <v/>
      </c>
      <c r="IG11" s="518" t="str">
        <f t="shared" si="222"/>
        <v/>
      </c>
      <c r="IH11" s="518" t="str">
        <f t="shared" si="223"/>
        <v/>
      </c>
      <c r="II11" s="507" t="str">
        <f t="shared" si="224"/>
        <v/>
      </c>
      <c r="IJ11" s="507" t="str">
        <f t="shared" si="225"/>
        <v/>
      </c>
      <c r="IK11" s="507" t="str">
        <f t="shared" si="226"/>
        <v/>
      </c>
      <c r="IL11" s="507" t="str">
        <f t="shared" si="227"/>
        <v/>
      </c>
      <c r="IM11" s="507" t="str">
        <f t="shared" si="228"/>
        <v/>
      </c>
      <c r="IN11" s="507" t="str">
        <f t="shared" si="229"/>
        <v/>
      </c>
      <c r="IO11" s="507" t="str">
        <f t="shared" si="230"/>
        <v/>
      </c>
      <c r="IP11" s="507" t="str">
        <f t="shared" si="231"/>
        <v/>
      </c>
      <c r="IQ11" s="507" t="str">
        <f t="shared" si="232"/>
        <v/>
      </c>
      <c r="IR11" s="507" t="str">
        <f t="shared" si="233"/>
        <v/>
      </c>
      <c r="IS11" s="507" t="str">
        <f t="shared" si="234"/>
        <v/>
      </c>
      <c r="IT11" s="507" t="str">
        <f t="shared" si="235"/>
        <v/>
      </c>
      <c r="IU11" s="507" t="str">
        <f t="shared" si="236"/>
        <v/>
      </c>
      <c r="IV11" s="507" t="str">
        <f t="shared" si="237"/>
        <v/>
      </c>
      <c r="IW11" s="507" t="str">
        <f t="shared" si="238"/>
        <v/>
      </c>
      <c r="IX11" s="507" t="str">
        <f t="shared" si="239"/>
        <v/>
      </c>
      <c r="IY11" s="507" t="str">
        <f t="shared" si="240"/>
        <v/>
      </c>
      <c r="IZ11" s="507" t="str">
        <f t="shared" si="241"/>
        <v/>
      </c>
      <c r="JA11" s="507" t="str">
        <f t="shared" si="242"/>
        <v/>
      </c>
      <c r="JB11" s="507" t="str">
        <f t="shared" si="243"/>
        <v/>
      </c>
      <c r="JC11" s="516">
        <f t="shared" ref="JC11:JC47" si="244">IF(AND($C11="Efficiency",$E11&gt;0,OR($N11="1-Story",$N11="2-Story",$N11="3+ Story",$N11="2-Story Walkup",$N11="Townhome"),OR($O11="Acquisition/Rehab",$O11="Rehabilitation"),NOT($P11="Yes")),$E11,0)</f>
        <v>0</v>
      </c>
      <c r="JD11" s="516">
        <f t="shared" ref="JD11:JD47" si="245">IF(AND($C11=1,$E11&gt;0,OR($N11="1-Story",$N11="2-Story",$N11="3+ Story",$N11="2-Story Walkup",$N11="Townhome"),OR($O11="Acquisition/Rehab",$O11="Rehabilitation"),NOT($P11="Yes")),$E11,0)</f>
        <v>39</v>
      </c>
      <c r="JE11" s="516">
        <f t="shared" ref="JE11:JE47" si="246">IF(AND($C11=2,$E11&gt;0,OR($N11="1-Story",$N11="2-Story",$N11="3+ Story",$N11="2-Story Walkup",$N11="Townhome"),OR($O11="Acquisition/Rehab",$O11="Rehabilitation"),NOT($P11="Yes")),$E11,0)</f>
        <v>0</v>
      </c>
      <c r="JF11" s="516">
        <f t="shared" ref="JF11:JF47" si="247">IF(AND($C11=3,$E11&gt;0,OR($N11="1-Story",$N11="2-Story",$N11="3+ Story",$N11="2-Story Walkup",$N11="Townhome"),OR($O11="Acquisition/Rehab",$O11="Rehabilitation"),NOT($P11="Yes")),$E11,0)</f>
        <v>0</v>
      </c>
      <c r="JG11" s="516">
        <f t="shared" ref="JG11:JG47" si="248">IF(AND($C11=4,$E11&gt;0,OR($N11="1-Story",$N11="2-Story",$N11="3+ Story",$N11="2-Story Walkup",$N11="Townhome"),OR($O11="Acquisition/Rehab",$O11="Rehabilitation"),NOT($P11="Yes")),$E11,0)</f>
        <v>0</v>
      </c>
      <c r="JH11" s="516">
        <f t="shared" ref="JH11:JH47" si="249">IF(AND($C11="Efficiency",$E11&gt;0,OR($N11="1-Story",$N11="2-Story",$N11="3+ Story",$N11="2-Story Walkup",$N11="Townhome"),$O11="New Construction"),$E11,0)</f>
        <v>0</v>
      </c>
      <c r="JI11" s="516">
        <f t="shared" ref="JI11:JI47" si="250">IF(AND($C11=1,$E11&gt;0,OR($N11="1-Story",$N11="2-Story",$N11="3+ Story",$N11="2-Story Walkup",$N11="Townhome"),$O11="New Construction"),$E11,0)</f>
        <v>0</v>
      </c>
      <c r="JJ11" s="516">
        <f t="shared" ref="JJ11:JJ47" si="251">IF(AND($C11=2,$E11&gt;0,OR($N11="1-Story",$N11="2-Story",$N11="3+ Story",$N11="2-Story Walkup",$N11="Townhome"),$O11="New Construction"),$E11,0)</f>
        <v>0</v>
      </c>
      <c r="JK11" s="516">
        <f t="shared" ref="JK11:JK47" si="252">IF(AND($C11=3,$E11&gt;0,OR($N11="1-Story",$N11="2-Story",$N11="3+ Story",$N11="2-Story Walkup",$N11="Townhome"),$O11="New Construction"),$E11,0)</f>
        <v>0</v>
      </c>
      <c r="JL11" s="516">
        <f t="shared" ref="JL11:JL47" si="253">IF(AND($C11=4,$E11&gt;0,OR($N11="1-Story",$N11="2-Story",$N11="3+ Story",$N11="2-Story Walkup",$N11="Townhome"),$O11="New Construction"),$E11,0)</f>
        <v>0</v>
      </c>
      <c r="JM11" s="516">
        <f t="shared" ref="JM11:JM47" si="254">IF(AND($C11="Efficiency",$E11&gt;0,OR($N11="SF Detached",$N11="Duplex",$N11="Mfd Home"),NOT($P11="Yes")),$E11,0)</f>
        <v>0</v>
      </c>
      <c r="JN11" s="516">
        <f t="shared" ref="JN11:JN47" si="255">IF(AND($C11=1,$E11&gt;0,OR($N11="SF Detached",$N11="Duplex",$N11="Mfd Home"),NOT($P11="Yes")),$E11,0)</f>
        <v>0</v>
      </c>
      <c r="JO11" s="516">
        <f t="shared" ref="JO11:JO47" si="256">IF(AND($C11=2,$E11&gt;0,OR($N11="SF Detached",$N11="Duplex",$N11="Mfd Home"),NOT($P11="Yes")),$E11,0)</f>
        <v>0</v>
      </c>
      <c r="JP11" s="516">
        <f t="shared" ref="JP11:JP47" si="257">IF(AND($C11=3,$E11&gt;0,OR($N11="SF Detached",$N11="Duplex",$N11="Mfd Home"),NOT($P11="Yes")),$E11,0)</f>
        <v>0</v>
      </c>
      <c r="JQ11" s="516">
        <f t="shared" ref="JQ11:JQ47" si="258">IF(AND($C11=4,$E11&gt;0,OR($N11="SF Detached",$N11="Duplex",$N11="Mfd Home"),NOT($P11="Yes")),$E11,0)</f>
        <v>0</v>
      </c>
    </row>
    <row r="12" spans="1:296" ht="12" customHeight="1">
      <c r="A12" s="115" t="str">
        <f t="shared" si="0"/>
        <v/>
      </c>
      <c r="B12" s="2822" t="s">
        <v>1191</v>
      </c>
      <c r="C12" s="2823">
        <v>1</v>
      </c>
      <c r="D12" s="2824">
        <v>1</v>
      </c>
      <c r="E12" s="2825">
        <v>65</v>
      </c>
      <c r="F12" s="2825">
        <v>502</v>
      </c>
      <c r="G12" s="2825">
        <v>759</v>
      </c>
      <c r="H12" s="2825">
        <v>1000</v>
      </c>
      <c r="I12" s="2825">
        <v>0</v>
      </c>
      <c r="J12" s="2826" t="s">
        <v>4279</v>
      </c>
      <c r="K12" s="795">
        <f t="shared" si="1"/>
        <v>1000</v>
      </c>
      <c r="L12" s="795">
        <f t="shared" si="2"/>
        <v>65000</v>
      </c>
      <c r="M12" s="2827" t="s">
        <v>3157</v>
      </c>
      <c r="N12" s="2827" t="s">
        <v>4280</v>
      </c>
      <c r="O12" s="2827" t="s">
        <v>4281</v>
      </c>
      <c r="P12" s="2828" t="s">
        <v>3157</v>
      </c>
      <c r="Q12" s="1258">
        <f t="shared" si="3"/>
        <v>40000</v>
      </c>
      <c r="R12" s="1259">
        <f>IF(H12="","",IF(C12="Efficiency",Q12/($O$6*VLOOKUP(0,'DCA Underwriting Assumptions'!$J$132:$K$137,2,FALSE)),Q12/($O$6*VLOOKUP(C12,'DCA Underwriting Assumptions'!$J$132:$K$137,2,FALSE))))</f>
        <v>0.78086871644704736</v>
      </c>
      <c r="S12" s="2829"/>
      <c r="T12" s="2830"/>
      <c r="U12" s="2831"/>
      <c r="V12" s="2746"/>
      <c r="W12" s="158" t="str">
        <f t="shared" si="4"/>
        <v/>
      </c>
      <c r="X12" s="158">
        <f t="shared" si="5"/>
        <v>65</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f t="shared" si="35"/>
        <v>65</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32630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f t="shared" si="80"/>
        <v>32630</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f t="shared" si="105"/>
        <v>65</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0" t="str">
        <f t="shared" si="134"/>
        <v/>
      </c>
      <c r="EX12" s="517">
        <f t="shared" si="135"/>
        <v>65</v>
      </c>
      <c r="EY12" s="517" t="str">
        <f t="shared" si="136"/>
        <v/>
      </c>
      <c r="EZ12" s="517" t="str">
        <f t="shared" si="137"/>
        <v/>
      </c>
      <c r="FA12" s="517" t="str">
        <f t="shared" si="138"/>
        <v/>
      </c>
      <c r="FB12" s="517" t="str">
        <f t="shared" si="139"/>
        <v/>
      </c>
      <c r="FC12" s="517" t="str">
        <f t="shared" si="140"/>
        <v/>
      </c>
      <c r="FD12" s="517" t="str">
        <f t="shared" si="141"/>
        <v/>
      </c>
      <c r="FE12" s="517" t="str">
        <f t="shared" si="142"/>
        <v/>
      </c>
      <c r="FF12" s="517" t="str">
        <f t="shared" si="143"/>
        <v/>
      </c>
      <c r="FG12" s="517" t="str">
        <f t="shared" si="144"/>
        <v/>
      </c>
      <c r="FH12" s="517" t="str">
        <f t="shared" si="145"/>
        <v/>
      </c>
      <c r="FI12" s="517" t="str">
        <f t="shared" si="146"/>
        <v/>
      </c>
      <c r="FJ12" s="517" t="str">
        <f t="shared" si="147"/>
        <v/>
      </c>
      <c r="FK12" s="517" t="str">
        <f t="shared" si="148"/>
        <v/>
      </c>
      <c r="FL12" s="517" t="str">
        <f t="shared" si="149"/>
        <v/>
      </c>
      <c r="FM12" s="517" t="str">
        <f t="shared" si="150"/>
        <v/>
      </c>
      <c r="FN12" s="517" t="str">
        <f t="shared" si="151"/>
        <v/>
      </c>
      <c r="FO12" s="517" t="str">
        <f t="shared" si="152"/>
        <v/>
      </c>
      <c r="FP12" s="517" t="str">
        <f t="shared" si="153"/>
        <v/>
      </c>
      <c r="FQ12" s="517" t="str">
        <f t="shared" si="154"/>
        <v/>
      </c>
      <c r="FR12" s="517" t="str">
        <f t="shared" si="155"/>
        <v/>
      </c>
      <c r="FS12" s="517" t="str">
        <f t="shared" si="156"/>
        <v/>
      </c>
      <c r="FT12" s="517" t="str">
        <f t="shared" si="157"/>
        <v/>
      </c>
      <c r="FU12" s="517" t="str">
        <f t="shared" si="158"/>
        <v/>
      </c>
      <c r="FV12" s="517" t="str">
        <f t="shared" si="159"/>
        <v/>
      </c>
      <c r="FW12" s="517" t="str">
        <f t="shared" si="160"/>
        <v/>
      </c>
      <c r="FX12" s="517" t="str">
        <f t="shared" si="161"/>
        <v/>
      </c>
      <c r="FY12" s="517" t="str">
        <f t="shared" si="162"/>
        <v/>
      </c>
      <c r="FZ12" s="517" t="str">
        <f t="shared" si="163"/>
        <v/>
      </c>
      <c r="GA12" s="517" t="str">
        <f t="shared" si="164"/>
        <v/>
      </c>
      <c r="GB12" s="517" t="str">
        <f t="shared" si="165"/>
        <v/>
      </c>
      <c r="GC12" s="517" t="str">
        <f t="shared" si="166"/>
        <v/>
      </c>
      <c r="GD12" s="517" t="str">
        <f t="shared" si="167"/>
        <v/>
      </c>
      <c r="GE12" s="517" t="str">
        <f t="shared" si="168"/>
        <v/>
      </c>
      <c r="GF12" s="517" t="str">
        <f t="shared" si="169"/>
        <v/>
      </c>
      <c r="GG12" s="517" t="str">
        <f t="shared" si="170"/>
        <v/>
      </c>
      <c r="GH12" s="517" t="str">
        <f t="shared" si="171"/>
        <v/>
      </c>
      <c r="GI12" s="517" t="str">
        <f t="shared" si="172"/>
        <v/>
      </c>
      <c r="GJ12" s="517" t="str">
        <f t="shared" si="173"/>
        <v/>
      </c>
      <c r="GK12" s="517" t="str">
        <f t="shared" si="174"/>
        <v/>
      </c>
      <c r="GL12" s="517" t="str">
        <f t="shared" si="175"/>
        <v/>
      </c>
      <c r="GM12" s="517" t="str">
        <f t="shared" si="176"/>
        <v/>
      </c>
      <c r="GN12" s="517" t="str">
        <f t="shared" si="177"/>
        <v/>
      </c>
      <c r="GO12" s="517" t="str">
        <f t="shared" si="178"/>
        <v/>
      </c>
      <c r="GP12" s="517" t="str">
        <f t="shared" si="179"/>
        <v/>
      </c>
      <c r="GQ12" s="517" t="str">
        <f t="shared" si="180"/>
        <v/>
      </c>
      <c r="GR12" s="517" t="str">
        <f t="shared" si="181"/>
        <v/>
      </c>
      <c r="GS12" s="517" t="str">
        <f t="shared" si="182"/>
        <v/>
      </c>
      <c r="GT12" s="517" t="str">
        <f t="shared" si="183"/>
        <v/>
      </c>
      <c r="GU12" s="517" t="str">
        <f t="shared" si="184"/>
        <v/>
      </c>
      <c r="GV12" s="517" t="str">
        <f t="shared" si="185"/>
        <v/>
      </c>
      <c r="GW12" s="517" t="str">
        <f t="shared" si="186"/>
        <v/>
      </c>
      <c r="GX12" s="517" t="str">
        <f t="shared" si="187"/>
        <v/>
      </c>
      <c r="GY12" s="517" t="str">
        <f t="shared" si="188"/>
        <v/>
      </c>
      <c r="GZ12" s="517" t="str">
        <f t="shared" si="189"/>
        <v/>
      </c>
      <c r="HA12" s="517" t="str">
        <f t="shared" si="190"/>
        <v/>
      </c>
      <c r="HB12" s="517" t="str">
        <f t="shared" si="191"/>
        <v/>
      </c>
      <c r="HC12" s="517" t="str">
        <f t="shared" si="192"/>
        <v/>
      </c>
      <c r="HD12" s="517" t="str">
        <f t="shared" si="193"/>
        <v/>
      </c>
      <c r="HE12" s="517" t="str">
        <f t="shared" si="194"/>
        <v/>
      </c>
      <c r="HF12" s="517" t="str">
        <f t="shared" si="195"/>
        <v/>
      </c>
      <c r="HG12" s="517" t="str">
        <f t="shared" si="196"/>
        <v/>
      </c>
      <c r="HH12" s="517" t="str">
        <f t="shared" si="197"/>
        <v/>
      </c>
      <c r="HI12" s="517" t="str">
        <f t="shared" si="198"/>
        <v/>
      </c>
      <c r="HJ12" s="517" t="str">
        <f t="shared" si="199"/>
        <v/>
      </c>
      <c r="HK12" s="517" t="str">
        <f t="shared" si="200"/>
        <v/>
      </c>
      <c r="HL12" s="517" t="str">
        <f t="shared" si="201"/>
        <v/>
      </c>
      <c r="HM12" s="517" t="str">
        <f t="shared" si="202"/>
        <v/>
      </c>
      <c r="HN12" s="517" t="str">
        <f t="shared" si="203"/>
        <v/>
      </c>
      <c r="HO12" s="517" t="str">
        <f t="shared" si="204"/>
        <v/>
      </c>
      <c r="HP12" s="517" t="str">
        <f t="shared" si="205"/>
        <v/>
      </c>
      <c r="HQ12" s="517" t="str">
        <f t="shared" si="206"/>
        <v/>
      </c>
      <c r="HR12" s="517" t="str">
        <f t="shared" si="207"/>
        <v/>
      </c>
      <c r="HS12" s="517" t="str">
        <f t="shared" si="208"/>
        <v/>
      </c>
      <c r="HT12" s="517" t="str">
        <f t="shared" si="209"/>
        <v/>
      </c>
      <c r="HU12" s="517">
        <f t="shared" si="210"/>
        <v>65</v>
      </c>
      <c r="HV12" s="517" t="str">
        <f t="shared" si="211"/>
        <v/>
      </c>
      <c r="HW12" s="517" t="str">
        <f t="shared" si="212"/>
        <v/>
      </c>
      <c r="HX12" s="517" t="str">
        <f t="shared" si="213"/>
        <v/>
      </c>
      <c r="HY12" s="517" t="str">
        <f t="shared" si="214"/>
        <v/>
      </c>
      <c r="HZ12" s="517" t="str">
        <f t="shared" si="215"/>
        <v/>
      </c>
      <c r="IA12" s="517" t="str">
        <f t="shared" si="216"/>
        <v/>
      </c>
      <c r="IB12" s="517" t="str">
        <f t="shared" si="217"/>
        <v/>
      </c>
      <c r="IC12" s="517" t="str">
        <f t="shared" si="218"/>
        <v/>
      </c>
      <c r="ID12" s="518" t="str">
        <f t="shared" si="219"/>
        <v/>
      </c>
      <c r="IE12" s="518" t="str">
        <f t="shared" si="220"/>
        <v/>
      </c>
      <c r="IF12" s="518" t="str">
        <f t="shared" si="221"/>
        <v/>
      </c>
      <c r="IG12" s="518" t="str">
        <f t="shared" si="222"/>
        <v/>
      </c>
      <c r="IH12" s="518" t="str">
        <f t="shared" si="223"/>
        <v/>
      </c>
      <c r="II12" s="507" t="str">
        <f t="shared" si="224"/>
        <v/>
      </c>
      <c r="IJ12" s="507" t="str">
        <f t="shared" si="225"/>
        <v/>
      </c>
      <c r="IK12" s="507" t="str">
        <f t="shared" si="226"/>
        <v/>
      </c>
      <c r="IL12" s="507" t="str">
        <f t="shared" si="227"/>
        <v/>
      </c>
      <c r="IM12" s="507" t="str">
        <f t="shared" si="228"/>
        <v/>
      </c>
      <c r="IN12" s="507" t="str">
        <f t="shared" si="229"/>
        <v/>
      </c>
      <c r="IO12" s="507" t="str">
        <f t="shared" si="230"/>
        <v/>
      </c>
      <c r="IP12" s="507" t="str">
        <f t="shared" si="231"/>
        <v/>
      </c>
      <c r="IQ12" s="507" t="str">
        <f t="shared" si="232"/>
        <v/>
      </c>
      <c r="IR12" s="507" t="str">
        <f t="shared" si="233"/>
        <v/>
      </c>
      <c r="IS12" s="507" t="str">
        <f t="shared" si="234"/>
        <v/>
      </c>
      <c r="IT12" s="507" t="str">
        <f t="shared" si="235"/>
        <v/>
      </c>
      <c r="IU12" s="507" t="str">
        <f t="shared" si="236"/>
        <v/>
      </c>
      <c r="IV12" s="507" t="str">
        <f t="shared" si="237"/>
        <v/>
      </c>
      <c r="IW12" s="507" t="str">
        <f t="shared" si="238"/>
        <v/>
      </c>
      <c r="IX12" s="507" t="str">
        <f t="shared" si="239"/>
        <v/>
      </c>
      <c r="IY12" s="507" t="str">
        <f t="shared" si="240"/>
        <v/>
      </c>
      <c r="IZ12" s="507" t="str">
        <f t="shared" si="241"/>
        <v/>
      </c>
      <c r="JA12" s="507" t="str">
        <f t="shared" si="242"/>
        <v/>
      </c>
      <c r="JB12" s="507" t="str">
        <f t="shared" si="243"/>
        <v/>
      </c>
      <c r="JC12" s="516">
        <f t="shared" si="244"/>
        <v>0</v>
      </c>
      <c r="JD12" s="516">
        <f t="shared" si="245"/>
        <v>65</v>
      </c>
      <c r="JE12" s="516">
        <f t="shared" si="246"/>
        <v>0</v>
      </c>
      <c r="JF12" s="516">
        <f t="shared" si="247"/>
        <v>0</v>
      </c>
      <c r="JG12" s="516">
        <f t="shared" si="248"/>
        <v>0</v>
      </c>
      <c r="JH12" s="516">
        <f t="shared" si="249"/>
        <v>0</v>
      </c>
      <c r="JI12" s="516">
        <f t="shared" si="250"/>
        <v>0</v>
      </c>
      <c r="JJ12" s="516">
        <f t="shared" si="251"/>
        <v>0</v>
      </c>
      <c r="JK12" s="516">
        <f t="shared" si="252"/>
        <v>0</v>
      </c>
      <c r="JL12" s="516">
        <f t="shared" si="253"/>
        <v>0</v>
      </c>
      <c r="JM12" s="516">
        <f t="shared" si="254"/>
        <v>0</v>
      </c>
      <c r="JN12" s="516">
        <f t="shared" si="255"/>
        <v>0</v>
      </c>
      <c r="JO12" s="516">
        <f t="shared" si="256"/>
        <v>0</v>
      </c>
      <c r="JP12" s="516">
        <f t="shared" si="257"/>
        <v>0</v>
      </c>
      <c r="JQ12" s="516">
        <f t="shared" si="258"/>
        <v>0</v>
      </c>
    </row>
    <row r="13" spans="1:296" ht="12" customHeight="1">
      <c r="A13" s="115" t="str">
        <f t="shared" si="0"/>
        <v/>
      </c>
      <c r="B13" s="2822" t="s">
        <v>1191</v>
      </c>
      <c r="C13" s="2823">
        <v>1</v>
      </c>
      <c r="D13" s="2824">
        <v>1</v>
      </c>
      <c r="E13" s="2825">
        <v>23</v>
      </c>
      <c r="F13" s="2825">
        <v>542</v>
      </c>
      <c r="G13" s="2825">
        <v>759</v>
      </c>
      <c r="H13" s="2825">
        <v>1000</v>
      </c>
      <c r="I13" s="2825">
        <v>0</v>
      </c>
      <c r="J13" s="2826" t="s">
        <v>4279</v>
      </c>
      <c r="K13" s="795">
        <f t="shared" si="1"/>
        <v>1000</v>
      </c>
      <c r="L13" s="795">
        <f t="shared" si="2"/>
        <v>23000</v>
      </c>
      <c r="M13" s="2827" t="s">
        <v>3157</v>
      </c>
      <c r="N13" s="2827" t="s">
        <v>4280</v>
      </c>
      <c r="O13" s="2827" t="s">
        <v>4281</v>
      </c>
      <c r="P13" s="2828" t="s">
        <v>3157</v>
      </c>
      <c r="Q13" s="1258">
        <f t="shared" si="3"/>
        <v>40000</v>
      </c>
      <c r="R13" s="1259">
        <f>IF(H13="","",IF(C13="Efficiency",Q13/($O$6*VLOOKUP(0,'DCA Underwriting Assumptions'!$J$132:$K$137,2,FALSE)),Q13/($O$6*VLOOKUP(C13,'DCA Underwriting Assumptions'!$J$132:$K$137,2,FALSE))))</f>
        <v>0.78086871644704736</v>
      </c>
      <c r="S13" s="2829"/>
      <c r="T13" s="2830"/>
      <c r="U13" s="2831"/>
      <c r="V13" s="2746"/>
      <c r="W13" s="158" t="str">
        <f t="shared" si="4"/>
        <v/>
      </c>
      <c r="X13" s="158">
        <f t="shared" si="5"/>
        <v>23</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f t="shared" si="35"/>
        <v>23</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12466</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f t="shared" si="80"/>
        <v>12466</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f t="shared" si="105"/>
        <v>23</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0" t="str">
        <f t="shared" si="134"/>
        <v/>
      </c>
      <c r="EX13" s="517">
        <f t="shared" si="135"/>
        <v>23</v>
      </c>
      <c r="EY13" s="517" t="str">
        <f t="shared" si="136"/>
        <v/>
      </c>
      <c r="EZ13" s="517" t="str">
        <f t="shared" si="137"/>
        <v/>
      </c>
      <c r="FA13" s="517" t="str">
        <f t="shared" si="138"/>
        <v/>
      </c>
      <c r="FB13" s="517" t="str">
        <f t="shared" si="139"/>
        <v/>
      </c>
      <c r="FC13" s="517" t="str">
        <f t="shared" si="140"/>
        <v/>
      </c>
      <c r="FD13" s="517" t="str">
        <f t="shared" si="141"/>
        <v/>
      </c>
      <c r="FE13" s="517" t="str">
        <f t="shared" si="142"/>
        <v/>
      </c>
      <c r="FF13" s="517" t="str">
        <f t="shared" si="143"/>
        <v/>
      </c>
      <c r="FG13" s="517" t="str">
        <f t="shared" si="144"/>
        <v/>
      </c>
      <c r="FH13" s="517" t="str">
        <f t="shared" si="145"/>
        <v/>
      </c>
      <c r="FI13" s="517" t="str">
        <f t="shared" si="146"/>
        <v/>
      </c>
      <c r="FJ13" s="517" t="str">
        <f t="shared" si="147"/>
        <v/>
      </c>
      <c r="FK13" s="517" t="str">
        <f t="shared" si="148"/>
        <v/>
      </c>
      <c r="FL13" s="517" t="str">
        <f t="shared" si="149"/>
        <v/>
      </c>
      <c r="FM13" s="517" t="str">
        <f t="shared" si="150"/>
        <v/>
      </c>
      <c r="FN13" s="517" t="str">
        <f t="shared" si="151"/>
        <v/>
      </c>
      <c r="FO13" s="517" t="str">
        <f t="shared" si="152"/>
        <v/>
      </c>
      <c r="FP13" s="517" t="str">
        <f t="shared" si="153"/>
        <v/>
      </c>
      <c r="FQ13" s="517" t="str">
        <f t="shared" si="154"/>
        <v/>
      </c>
      <c r="FR13" s="517" t="str">
        <f t="shared" si="155"/>
        <v/>
      </c>
      <c r="FS13" s="517" t="str">
        <f t="shared" si="156"/>
        <v/>
      </c>
      <c r="FT13" s="517" t="str">
        <f t="shared" si="157"/>
        <v/>
      </c>
      <c r="FU13" s="517" t="str">
        <f t="shared" si="158"/>
        <v/>
      </c>
      <c r="FV13" s="517" t="str">
        <f t="shared" si="159"/>
        <v/>
      </c>
      <c r="FW13" s="517" t="str">
        <f t="shared" si="160"/>
        <v/>
      </c>
      <c r="FX13" s="517" t="str">
        <f t="shared" si="161"/>
        <v/>
      </c>
      <c r="FY13" s="517" t="str">
        <f t="shared" si="162"/>
        <v/>
      </c>
      <c r="FZ13" s="517" t="str">
        <f t="shared" si="163"/>
        <v/>
      </c>
      <c r="GA13" s="517" t="str">
        <f t="shared" si="164"/>
        <v/>
      </c>
      <c r="GB13" s="517" t="str">
        <f t="shared" si="165"/>
        <v/>
      </c>
      <c r="GC13" s="517" t="str">
        <f t="shared" si="166"/>
        <v/>
      </c>
      <c r="GD13" s="517" t="str">
        <f t="shared" si="167"/>
        <v/>
      </c>
      <c r="GE13" s="517" t="str">
        <f t="shared" si="168"/>
        <v/>
      </c>
      <c r="GF13" s="517" t="str">
        <f t="shared" si="169"/>
        <v/>
      </c>
      <c r="GG13" s="517" t="str">
        <f t="shared" si="170"/>
        <v/>
      </c>
      <c r="GH13" s="517" t="str">
        <f t="shared" si="171"/>
        <v/>
      </c>
      <c r="GI13" s="517" t="str">
        <f t="shared" si="172"/>
        <v/>
      </c>
      <c r="GJ13" s="517" t="str">
        <f t="shared" si="173"/>
        <v/>
      </c>
      <c r="GK13" s="517" t="str">
        <f t="shared" si="174"/>
        <v/>
      </c>
      <c r="GL13" s="517" t="str">
        <f t="shared" si="175"/>
        <v/>
      </c>
      <c r="GM13" s="517" t="str">
        <f t="shared" si="176"/>
        <v/>
      </c>
      <c r="GN13" s="517" t="str">
        <f t="shared" si="177"/>
        <v/>
      </c>
      <c r="GO13" s="517" t="str">
        <f t="shared" si="178"/>
        <v/>
      </c>
      <c r="GP13" s="517" t="str">
        <f t="shared" si="179"/>
        <v/>
      </c>
      <c r="GQ13" s="517" t="str">
        <f t="shared" si="180"/>
        <v/>
      </c>
      <c r="GR13" s="517" t="str">
        <f t="shared" si="181"/>
        <v/>
      </c>
      <c r="GS13" s="517" t="str">
        <f t="shared" si="182"/>
        <v/>
      </c>
      <c r="GT13" s="517" t="str">
        <f t="shared" si="183"/>
        <v/>
      </c>
      <c r="GU13" s="517" t="str">
        <f t="shared" si="184"/>
        <v/>
      </c>
      <c r="GV13" s="517" t="str">
        <f t="shared" si="185"/>
        <v/>
      </c>
      <c r="GW13" s="517" t="str">
        <f t="shared" si="186"/>
        <v/>
      </c>
      <c r="GX13" s="517" t="str">
        <f t="shared" si="187"/>
        <v/>
      </c>
      <c r="GY13" s="517" t="str">
        <f t="shared" si="188"/>
        <v/>
      </c>
      <c r="GZ13" s="517" t="str">
        <f t="shared" si="189"/>
        <v/>
      </c>
      <c r="HA13" s="517" t="str">
        <f t="shared" si="190"/>
        <v/>
      </c>
      <c r="HB13" s="517" t="str">
        <f t="shared" si="191"/>
        <v/>
      </c>
      <c r="HC13" s="517" t="str">
        <f t="shared" si="192"/>
        <v/>
      </c>
      <c r="HD13" s="517" t="str">
        <f t="shared" si="193"/>
        <v/>
      </c>
      <c r="HE13" s="517" t="str">
        <f t="shared" si="194"/>
        <v/>
      </c>
      <c r="HF13" s="517" t="str">
        <f t="shared" si="195"/>
        <v/>
      </c>
      <c r="HG13" s="517" t="str">
        <f t="shared" si="196"/>
        <v/>
      </c>
      <c r="HH13" s="517" t="str">
        <f t="shared" si="197"/>
        <v/>
      </c>
      <c r="HI13" s="517" t="str">
        <f t="shared" si="198"/>
        <v/>
      </c>
      <c r="HJ13" s="517" t="str">
        <f t="shared" si="199"/>
        <v/>
      </c>
      <c r="HK13" s="517" t="str">
        <f t="shared" si="200"/>
        <v/>
      </c>
      <c r="HL13" s="517" t="str">
        <f t="shared" si="201"/>
        <v/>
      </c>
      <c r="HM13" s="517" t="str">
        <f t="shared" si="202"/>
        <v/>
      </c>
      <c r="HN13" s="517" t="str">
        <f t="shared" si="203"/>
        <v/>
      </c>
      <c r="HO13" s="517" t="str">
        <f t="shared" si="204"/>
        <v/>
      </c>
      <c r="HP13" s="517" t="str">
        <f t="shared" si="205"/>
        <v/>
      </c>
      <c r="HQ13" s="517" t="str">
        <f t="shared" si="206"/>
        <v/>
      </c>
      <c r="HR13" s="517" t="str">
        <f t="shared" si="207"/>
        <v/>
      </c>
      <c r="HS13" s="517" t="str">
        <f t="shared" si="208"/>
        <v/>
      </c>
      <c r="HT13" s="517" t="str">
        <f t="shared" si="209"/>
        <v/>
      </c>
      <c r="HU13" s="517">
        <f t="shared" si="210"/>
        <v>23</v>
      </c>
      <c r="HV13" s="517" t="str">
        <f t="shared" si="211"/>
        <v/>
      </c>
      <c r="HW13" s="517" t="str">
        <f t="shared" si="212"/>
        <v/>
      </c>
      <c r="HX13" s="517" t="str">
        <f t="shared" si="213"/>
        <v/>
      </c>
      <c r="HY13" s="517" t="str">
        <f t="shared" si="214"/>
        <v/>
      </c>
      <c r="HZ13" s="517" t="str">
        <f t="shared" si="215"/>
        <v/>
      </c>
      <c r="IA13" s="517" t="str">
        <f t="shared" si="216"/>
        <v/>
      </c>
      <c r="IB13" s="517" t="str">
        <f t="shared" si="217"/>
        <v/>
      </c>
      <c r="IC13" s="517" t="str">
        <f t="shared" si="218"/>
        <v/>
      </c>
      <c r="ID13" s="518" t="str">
        <f t="shared" si="219"/>
        <v/>
      </c>
      <c r="IE13" s="518" t="str">
        <f t="shared" si="220"/>
        <v/>
      </c>
      <c r="IF13" s="518" t="str">
        <f t="shared" si="221"/>
        <v/>
      </c>
      <c r="IG13" s="518" t="str">
        <f t="shared" si="222"/>
        <v/>
      </c>
      <c r="IH13" s="518" t="str">
        <f t="shared" si="223"/>
        <v/>
      </c>
      <c r="II13" s="507" t="str">
        <f t="shared" si="224"/>
        <v/>
      </c>
      <c r="IJ13" s="507" t="str">
        <f t="shared" si="225"/>
        <v/>
      </c>
      <c r="IK13" s="507" t="str">
        <f t="shared" si="226"/>
        <v/>
      </c>
      <c r="IL13" s="507" t="str">
        <f t="shared" si="227"/>
        <v/>
      </c>
      <c r="IM13" s="507" t="str">
        <f t="shared" si="228"/>
        <v/>
      </c>
      <c r="IN13" s="507" t="str">
        <f t="shared" si="229"/>
        <v/>
      </c>
      <c r="IO13" s="507" t="str">
        <f t="shared" si="230"/>
        <v/>
      </c>
      <c r="IP13" s="507" t="str">
        <f t="shared" si="231"/>
        <v/>
      </c>
      <c r="IQ13" s="507" t="str">
        <f t="shared" si="232"/>
        <v/>
      </c>
      <c r="IR13" s="507" t="str">
        <f t="shared" si="233"/>
        <v/>
      </c>
      <c r="IS13" s="507" t="str">
        <f t="shared" si="234"/>
        <v/>
      </c>
      <c r="IT13" s="507" t="str">
        <f t="shared" si="235"/>
        <v/>
      </c>
      <c r="IU13" s="507" t="str">
        <f t="shared" si="236"/>
        <v/>
      </c>
      <c r="IV13" s="507" t="str">
        <f t="shared" si="237"/>
        <v/>
      </c>
      <c r="IW13" s="507" t="str">
        <f t="shared" si="238"/>
        <v/>
      </c>
      <c r="IX13" s="507" t="str">
        <f t="shared" si="239"/>
        <v/>
      </c>
      <c r="IY13" s="507" t="str">
        <f t="shared" si="240"/>
        <v/>
      </c>
      <c r="IZ13" s="507" t="str">
        <f t="shared" si="241"/>
        <v/>
      </c>
      <c r="JA13" s="507" t="str">
        <f t="shared" si="242"/>
        <v/>
      </c>
      <c r="JB13" s="507" t="str">
        <f t="shared" si="243"/>
        <v/>
      </c>
      <c r="JC13" s="516">
        <f t="shared" si="244"/>
        <v>0</v>
      </c>
      <c r="JD13" s="516">
        <f t="shared" si="245"/>
        <v>23</v>
      </c>
      <c r="JE13" s="516">
        <f t="shared" si="246"/>
        <v>0</v>
      </c>
      <c r="JF13" s="516">
        <f t="shared" si="247"/>
        <v>0</v>
      </c>
      <c r="JG13" s="516">
        <f t="shared" si="248"/>
        <v>0</v>
      </c>
      <c r="JH13" s="516">
        <f t="shared" si="249"/>
        <v>0</v>
      </c>
      <c r="JI13" s="516">
        <f t="shared" si="250"/>
        <v>0</v>
      </c>
      <c r="JJ13" s="516">
        <f t="shared" si="251"/>
        <v>0</v>
      </c>
      <c r="JK13" s="516">
        <f t="shared" si="252"/>
        <v>0</v>
      </c>
      <c r="JL13" s="516">
        <f t="shared" si="253"/>
        <v>0</v>
      </c>
      <c r="JM13" s="516">
        <f t="shared" si="254"/>
        <v>0</v>
      </c>
      <c r="JN13" s="516">
        <f t="shared" si="255"/>
        <v>0</v>
      </c>
      <c r="JO13" s="516">
        <f t="shared" si="256"/>
        <v>0</v>
      </c>
      <c r="JP13" s="516">
        <f t="shared" si="257"/>
        <v>0</v>
      </c>
      <c r="JQ13" s="516">
        <f t="shared" si="258"/>
        <v>0</v>
      </c>
    </row>
    <row r="14" spans="1:296" ht="12" customHeight="1">
      <c r="A14" s="115" t="str">
        <f t="shared" si="0"/>
        <v/>
      </c>
      <c r="B14" s="2822" t="s">
        <v>1191</v>
      </c>
      <c r="C14" s="2823">
        <v>1</v>
      </c>
      <c r="D14" s="2824">
        <v>1</v>
      </c>
      <c r="E14" s="2825">
        <v>26</v>
      </c>
      <c r="F14" s="2825">
        <v>557</v>
      </c>
      <c r="G14" s="2825">
        <v>759</v>
      </c>
      <c r="H14" s="2825">
        <v>1000</v>
      </c>
      <c r="I14" s="2825">
        <v>0</v>
      </c>
      <c r="J14" s="2826" t="s">
        <v>4279</v>
      </c>
      <c r="K14" s="795">
        <f t="shared" si="1"/>
        <v>1000</v>
      </c>
      <c r="L14" s="795">
        <f t="shared" si="2"/>
        <v>26000</v>
      </c>
      <c r="M14" s="2827" t="s">
        <v>3157</v>
      </c>
      <c r="N14" s="2827" t="s">
        <v>4280</v>
      </c>
      <c r="O14" s="2827" t="s">
        <v>4281</v>
      </c>
      <c r="P14" s="2828" t="s">
        <v>3157</v>
      </c>
      <c r="Q14" s="1258">
        <f t="shared" si="3"/>
        <v>40000</v>
      </c>
      <c r="R14" s="1259">
        <f>IF(H14="","",IF(C14="Efficiency",Q14/($O$6*VLOOKUP(0,'DCA Underwriting Assumptions'!$J$132:$K$137,2,FALSE)),Q14/($O$6*VLOOKUP(C14,'DCA Underwriting Assumptions'!$J$132:$K$137,2,FALSE))))</f>
        <v>0.78086871644704736</v>
      </c>
      <c r="S14" s="2829"/>
      <c r="T14" s="2830"/>
      <c r="U14" s="2831"/>
      <c r="V14" s="2746"/>
      <c r="W14" s="158" t="str">
        <f t="shared" si="4"/>
        <v/>
      </c>
      <c r="X14" s="158">
        <f t="shared" si="5"/>
        <v>26</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f t="shared" si="35"/>
        <v>26</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f t="shared" si="60"/>
        <v>14482</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f t="shared" si="80"/>
        <v>14482</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f t="shared" si="105"/>
        <v>26</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0" t="str">
        <f t="shared" si="134"/>
        <v/>
      </c>
      <c r="EX14" s="517">
        <f t="shared" si="135"/>
        <v>26</v>
      </c>
      <c r="EY14" s="517" t="str">
        <f t="shared" si="136"/>
        <v/>
      </c>
      <c r="EZ14" s="517" t="str">
        <f t="shared" si="137"/>
        <v/>
      </c>
      <c r="FA14" s="517" t="str">
        <f t="shared" si="138"/>
        <v/>
      </c>
      <c r="FB14" s="517" t="str">
        <f t="shared" si="139"/>
        <v/>
      </c>
      <c r="FC14" s="517" t="str">
        <f t="shared" si="140"/>
        <v/>
      </c>
      <c r="FD14" s="517" t="str">
        <f t="shared" si="141"/>
        <v/>
      </c>
      <c r="FE14" s="517" t="str">
        <f t="shared" si="142"/>
        <v/>
      </c>
      <c r="FF14" s="517" t="str">
        <f t="shared" si="143"/>
        <v/>
      </c>
      <c r="FG14" s="517" t="str">
        <f t="shared" si="144"/>
        <v/>
      </c>
      <c r="FH14" s="517" t="str">
        <f t="shared" si="145"/>
        <v/>
      </c>
      <c r="FI14" s="517" t="str">
        <f t="shared" si="146"/>
        <v/>
      </c>
      <c r="FJ14" s="517" t="str">
        <f t="shared" si="147"/>
        <v/>
      </c>
      <c r="FK14" s="517" t="str">
        <f t="shared" si="148"/>
        <v/>
      </c>
      <c r="FL14" s="517" t="str">
        <f t="shared" si="149"/>
        <v/>
      </c>
      <c r="FM14" s="517" t="str">
        <f t="shared" si="150"/>
        <v/>
      </c>
      <c r="FN14" s="517" t="str">
        <f t="shared" si="151"/>
        <v/>
      </c>
      <c r="FO14" s="517" t="str">
        <f t="shared" si="152"/>
        <v/>
      </c>
      <c r="FP14" s="517" t="str">
        <f t="shared" si="153"/>
        <v/>
      </c>
      <c r="FQ14" s="517" t="str">
        <f t="shared" si="154"/>
        <v/>
      </c>
      <c r="FR14" s="517" t="str">
        <f t="shared" si="155"/>
        <v/>
      </c>
      <c r="FS14" s="517" t="str">
        <f t="shared" si="156"/>
        <v/>
      </c>
      <c r="FT14" s="517" t="str">
        <f t="shared" si="157"/>
        <v/>
      </c>
      <c r="FU14" s="517" t="str">
        <f t="shared" si="158"/>
        <v/>
      </c>
      <c r="FV14" s="517" t="str">
        <f t="shared" si="159"/>
        <v/>
      </c>
      <c r="FW14" s="517" t="str">
        <f t="shared" si="160"/>
        <v/>
      </c>
      <c r="FX14" s="517" t="str">
        <f t="shared" si="161"/>
        <v/>
      </c>
      <c r="FY14" s="517" t="str">
        <f t="shared" si="162"/>
        <v/>
      </c>
      <c r="FZ14" s="517" t="str">
        <f t="shared" si="163"/>
        <v/>
      </c>
      <c r="GA14" s="517" t="str">
        <f t="shared" si="164"/>
        <v/>
      </c>
      <c r="GB14" s="517" t="str">
        <f t="shared" si="165"/>
        <v/>
      </c>
      <c r="GC14" s="517" t="str">
        <f t="shared" si="166"/>
        <v/>
      </c>
      <c r="GD14" s="517" t="str">
        <f t="shared" si="167"/>
        <v/>
      </c>
      <c r="GE14" s="517" t="str">
        <f t="shared" si="168"/>
        <v/>
      </c>
      <c r="GF14" s="517" t="str">
        <f t="shared" si="169"/>
        <v/>
      </c>
      <c r="GG14" s="517" t="str">
        <f t="shared" si="170"/>
        <v/>
      </c>
      <c r="GH14" s="517" t="str">
        <f t="shared" si="171"/>
        <v/>
      </c>
      <c r="GI14" s="517" t="str">
        <f t="shared" si="172"/>
        <v/>
      </c>
      <c r="GJ14" s="517" t="str">
        <f t="shared" si="173"/>
        <v/>
      </c>
      <c r="GK14" s="517" t="str">
        <f t="shared" si="174"/>
        <v/>
      </c>
      <c r="GL14" s="517" t="str">
        <f t="shared" si="175"/>
        <v/>
      </c>
      <c r="GM14" s="517" t="str">
        <f t="shared" si="176"/>
        <v/>
      </c>
      <c r="GN14" s="517" t="str">
        <f t="shared" si="177"/>
        <v/>
      </c>
      <c r="GO14" s="517" t="str">
        <f t="shared" si="178"/>
        <v/>
      </c>
      <c r="GP14" s="517" t="str">
        <f t="shared" si="179"/>
        <v/>
      </c>
      <c r="GQ14" s="517" t="str">
        <f t="shared" si="180"/>
        <v/>
      </c>
      <c r="GR14" s="517" t="str">
        <f t="shared" si="181"/>
        <v/>
      </c>
      <c r="GS14" s="517" t="str">
        <f t="shared" si="182"/>
        <v/>
      </c>
      <c r="GT14" s="517" t="str">
        <f t="shared" si="183"/>
        <v/>
      </c>
      <c r="GU14" s="517" t="str">
        <f t="shared" si="184"/>
        <v/>
      </c>
      <c r="GV14" s="517" t="str">
        <f t="shared" si="185"/>
        <v/>
      </c>
      <c r="GW14" s="517" t="str">
        <f t="shared" si="186"/>
        <v/>
      </c>
      <c r="GX14" s="517" t="str">
        <f t="shared" si="187"/>
        <v/>
      </c>
      <c r="GY14" s="517" t="str">
        <f t="shared" si="188"/>
        <v/>
      </c>
      <c r="GZ14" s="517" t="str">
        <f t="shared" si="189"/>
        <v/>
      </c>
      <c r="HA14" s="517" t="str">
        <f t="shared" si="190"/>
        <v/>
      </c>
      <c r="HB14" s="517" t="str">
        <f t="shared" si="191"/>
        <v/>
      </c>
      <c r="HC14" s="517" t="str">
        <f t="shared" si="192"/>
        <v/>
      </c>
      <c r="HD14" s="517" t="str">
        <f t="shared" si="193"/>
        <v/>
      </c>
      <c r="HE14" s="517" t="str">
        <f t="shared" si="194"/>
        <v/>
      </c>
      <c r="HF14" s="517" t="str">
        <f t="shared" si="195"/>
        <v/>
      </c>
      <c r="HG14" s="517" t="str">
        <f t="shared" si="196"/>
        <v/>
      </c>
      <c r="HH14" s="517" t="str">
        <f t="shared" si="197"/>
        <v/>
      </c>
      <c r="HI14" s="517" t="str">
        <f t="shared" si="198"/>
        <v/>
      </c>
      <c r="HJ14" s="517" t="str">
        <f t="shared" si="199"/>
        <v/>
      </c>
      <c r="HK14" s="517" t="str">
        <f t="shared" si="200"/>
        <v/>
      </c>
      <c r="HL14" s="517" t="str">
        <f t="shared" si="201"/>
        <v/>
      </c>
      <c r="HM14" s="517" t="str">
        <f t="shared" si="202"/>
        <v/>
      </c>
      <c r="HN14" s="517" t="str">
        <f t="shared" si="203"/>
        <v/>
      </c>
      <c r="HO14" s="517" t="str">
        <f t="shared" si="204"/>
        <v/>
      </c>
      <c r="HP14" s="517" t="str">
        <f t="shared" si="205"/>
        <v/>
      </c>
      <c r="HQ14" s="517" t="str">
        <f t="shared" si="206"/>
        <v/>
      </c>
      <c r="HR14" s="517" t="str">
        <f t="shared" si="207"/>
        <v/>
      </c>
      <c r="HS14" s="517" t="str">
        <f t="shared" si="208"/>
        <v/>
      </c>
      <c r="HT14" s="517" t="str">
        <f t="shared" si="209"/>
        <v/>
      </c>
      <c r="HU14" s="517">
        <f t="shared" si="210"/>
        <v>26</v>
      </c>
      <c r="HV14" s="517" t="str">
        <f t="shared" si="211"/>
        <v/>
      </c>
      <c r="HW14" s="517" t="str">
        <f t="shared" si="212"/>
        <v/>
      </c>
      <c r="HX14" s="517" t="str">
        <f t="shared" si="213"/>
        <v/>
      </c>
      <c r="HY14" s="517" t="str">
        <f t="shared" si="214"/>
        <v/>
      </c>
      <c r="HZ14" s="517" t="str">
        <f t="shared" si="215"/>
        <v/>
      </c>
      <c r="IA14" s="517" t="str">
        <f t="shared" si="216"/>
        <v/>
      </c>
      <c r="IB14" s="517" t="str">
        <f t="shared" si="217"/>
        <v/>
      </c>
      <c r="IC14" s="517" t="str">
        <f t="shared" si="218"/>
        <v/>
      </c>
      <c r="ID14" s="518" t="str">
        <f t="shared" si="219"/>
        <v/>
      </c>
      <c r="IE14" s="518" t="str">
        <f t="shared" si="220"/>
        <v/>
      </c>
      <c r="IF14" s="518" t="str">
        <f t="shared" si="221"/>
        <v/>
      </c>
      <c r="IG14" s="518" t="str">
        <f t="shared" si="222"/>
        <v/>
      </c>
      <c r="IH14" s="518" t="str">
        <f t="shared" si="223"/>
        <v/>
      </c>
      <c r="II14" s="507" t="str">
        <f t="shared" si="224"/>
        <v/>
      </c>
      <c r="IJ14" s="507" t="str">
        <f t="shared" si="225"/>
        <v/>
      </c>
      <c r="IK14" s="507" t="str">
        <f t="shared" si="226"/>
        <v/>
      </c>
      <c r="IL14" s="507" t="str">
        <f t="shared" si="227"/>
        <v/>
      </c>
      <c r="IM14" s="507" t="str">
        <f t="shared" si="228"/>
        <v/>
      </c>
      <c r="IN14" s="507" t="str">
        <f t="shared" si="229"/>
        <v/>
      </c>
      <c r="IO14" s="507" t="str">
        <f t="shared" si="230"/>
        <v/>
      </c>
      <c r="IP14" s="507" t="str">
        <f t="shared" si="231"/>
        <v/>
      </c>
      <c r="IQ14" s="507" t="str">
        <f t="shared" si="232"/>
        <v/>
      </c>
      <c r="IR14" s="507" t="str">
        <f t="shared" si="233"/>
        <v/>
      </c>
      <c r="IS14" s="507" t="str">
        <f t="shared" si="234"/>
        <v/>
      </c>
      <c r="IT14" s="507" t="str">
        <f t="shared" si="235"/>
        <v/>
      </c>
      <c r="IU14" s="507" t="str">
        <f t="shared" si="236"/>
        <v/>
      </c>
      <c r="IV14" s="507" t="str">
        <f t="shared" si="237"/>
        <v/>
      </c>
      <c r="IW14" s="507" t="str">
        <f t="shared" si="238"/>
        <v/>
      </c>
      <c r="IX14" s="507" t="str">
        <f t="shared" si="239"/>
        <v/>
      </c>
      <c r="IY14" s="507" t="str">
        <f t="shared" si="240"/>
        <v/>
      </c>
      <c r="IZ14" s="507" t="str">
        <f t="shared" si="241"/>
        <v/>
      </c>
      <c r="JA14" s="507" t="str">
        <f t="shared" si="242"/>
        <v/>
      </c>
      <c r="JB14" s="507" t="str">
        <f t="shared" si="243"/>
        <v/>
      </c>
      <c r="JC14" s="516">
        <f t="shared" si="244"/>
        <v>0</v>
      </c>
      <c r="JD14" s="516">
        <f t="shared" si="245"/>
        <v>26</v>
      </c>
      <c r="JE14" s="516">
        <f t="shared" si="246"/>
        <v>0</v>
      </c>
      <c r="JF14" s="516">
        <f t="shared" si="247"/>
        <v>0</v>
      </c>
      <c r="JG14" s="516">
        <f t="shared" si="248"/>
        <v>0</v>
      </c>
      <c r="JH14" s="516">
        <f t="shared" si="249"/>
        <v>0</v>
      </c>
      <c r="JI14" s="516">
        <f t="shared" si="250"/>
        <v>0</v>
      </c>
      <c r="JJ14" s="516">
        <f t="shared" si="251"/>
        <v>0</v>
      </c>
      <c r="JK14" s="516">
        <f t="shared" si="252"/>
        <v>0</v>
      </c>
      <c r="JL14" s="516">
        <f t="shared" si="253"/>
        <v>0</v>
      </c>
      <c r="JM14" s="516">
        <f t="shared" si="254"/>
        <v>0</v>
      </c>
      <c r="JN14" s="516">
        <f t="shared" si="255"/>
        <v>0</v>
      </c>
      <c r="JO14" s="516">
        <f t="shared" si="256"/>
        <v>0</v>
      </c>
      <c r="JP14" s="516">
        <f t="shared" si="257"/>
        <v>0</v>
      </c>
      <c r="JQ14" s="516">
        <f t="shared" si="258"/>
        <v>0</v>
      </c>
    </row>
    <row r="15" spans="1:296" ht="12" customHeight="1">
      <c r="A15" s="115" t="str">
        <f t="shared" si="0"/>
        <v/>
      </c>
      <c r="B15" s="2822" t="s">
        <v>1191</v>
      </c>
      <c r="C15" s="2823">
        <v>1</v>
      </c>
      <c r="D15" s="2824">
        <v>1</v>
      </c>
      <c r="E15" s="2825">
        <v>52</v>
      </c>
      <c r="F15" s="2825">
        <v>596</v>
      </c>
      <c r="G15" s="2825">
        <v>759</v>
      </c>
      <c r="H15" s="2825">
        <v>1000</v>
      </c>
      <c r="I15" s="2825">
        <v>0</v>
      </c>
      <c r="J15" s="2826" t="s">
        <v>4279</v>
      </c>
      <c r="K15" s="795">
        <f t="shared" si="1"/>
        <v>1000</v>
      </c>
      <c r="L15" s="795">
        <f t="shared" si="2"/>
        <v>52000</v>
      </c>
      <c r="M15" s="2827" t="s">
        <v>3157</v>
      </c>
      <c r="N15" s="2827" t="s">
        <v>4280</v>
      </c>
      <c r="O15" s="2827" t="s">
        <v>4281</v>
      </c>
      <c r="P15" s="2828" t="s">
        <v>3157</v>
      </c>
      <c r="Q15" s="1258">
        <f t="shared" si="3"/>
        <v>40000</v>
      </c>
      <c r="R15" s="1259">
        <f>IF(H15="","",IF(C15="Efficiency",Q15/($O$6*VLOOKUP(0,'DCA Underwriting Assumptions'!$J$132:$K$137,2,FALSE)),Q15/($O$6*VLOOKUP(C15,'DCA Underwriting Assumptions'!$J$132:$K$137,2,FALSE))))</f>
        <v>0.78086871644704736</v>
      </c>
      <c r="S15" s="2829"/>
      <c r="T15" s="2830"/>
      <c r="U15" s="2831"/>
      <c r="V15" s="2746"/>
      <c r="W15" s="158" t="str">
        <f t="shared" si="4"/>
        <v/>
      </c>
      <c r="X15" s="158">
        <f t="shared" si="5"/>
        <v>52</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f t="shared" si="35"/>
        <v>52</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f t="shared" si="60"/>
        <v>30992</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f t="shared" si="80"/>
        <v>30992</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f t="shared" si="105"/>
        <v>52</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0" t="str">
        <f t="shared" si="134"/>
        <v/>
      </c>
      <c r="EX15" s="517">
        <f t="shared" si="135"/>
        <v>52</v>
      </c>
      <c r="EY15" s="517" t="str">
        <f t="shared" si="136"/>
        <v/>
      </c>
      <c r="EZ15" s="517" t="str">
        <f t="shared" si="137"/>
        <v/>
      </c>
      <c r="FA15" s="517" t="str">
        <f t="shared" si="138"/>
        <v/>
      </c>
      <c r="FB15" s="517" t="str">
        <f t="shared" si="139"/>
        <v/>
      </c>
      <c r="FC15" s="517" t="str">
        <f t="shared" si="140"/>
        <v/>
      </c>
      <c r="FD15" s="517" t="str">
        <f t="shared" si="141"/>
        <v/>
      </c>
      <c r="FE15" s="517" t="str">
        <f t="shared" si="142"/>
        <v/>
      </c>
      <c r="FF15" s="517" t="str">
        <f t="shared" si="143"/>
        <v/>
      </c>
      <c r="FG15" s="517" t="str">
        <f t="shared" si="144"/>
        <v/>
      </c>
      <c r="FH15" s="517" t="str">
        <f t="shared" si="145"/>
        <v/>
      </c>
      <c r="FI15" s="517" t="str">
        <f t="shared" si="146"/>
        <v/>
      </c>
      <c r="FJ15" s="517" t="str">
        <f t="shared" si="147"/>
        <v/>
      </c>
      <c r="FK15" s="517" t="str">
        <f t="shared" si="148"/>
        <v/>
      </c>
      <c r="FL15" s="517" t="str">
        <f t="shared" si="149"/>
        <v/>
      </c>
      <c r="FM15" s="517" t="str">
        <f t="shared" si="150"/>
        <v/>
      </c>
      <c r="FN15" s="517" t="str">
        <f t="shared" si="151"/>
        <v/>
      </c>
      <c r="FO15" s="517" t="str">
        <f t="shared" si="152"/>
        <v/>
      </c>
      <c r="FP15" s="517" t="str">
        <f t="shared" si="153"/>
        <v/>
      </c>
      <c r="FQ15" s="517" t="str">
        <f t="shared" si="154"/>
        <v/>
      </c>
      <c r="FR15" s="517" t="str">
        <f t="shared" si="155"/>
        <v/>
      </c>
      <c r="FS15" s="517" t="str">
        <f t="shared" si="156"/>
        <v/>
      </c>
      <c r="FT15" s="517" t="str">
        <f t="shared" si="157"/>
        <v/>
      </c>
      <c r="FU15" s="517" t="str">
        <f t="shared" si="158"/>
        <v/>
      </c>
      <c r="FV15" s="517" t="str">
        <f t="shared" si="159"/>
        <v/>
      </c>
      <c r="FW15" s="517" t="str">
        <f t="shared" si="160"/>
        <v/>
      </c>
      <c r="FX15" s="517" t="str">
        <f t="shared" si="161"/>
        <v/>
      </c>
      <c r="FY15" s="517" t="str">
        <f t="shared" si="162"/>
        <v/>
      </c>
      <c r="FZ15" s="517" t="str">
        <f t="shared" si="163"/>
        <v/>
      </c>
      <c r="GA15" s="517" t="str">
        <f t="shared" si="164"/>
        <v/>
      </c>
      <c r="GB15" s="517" t="str">
        <f t="shared" si="165"/>
        <v/>
      </c>
      <c r="GC15" s="517" t="str">
        <f t="shared" si="166"/>
        <v/>
      </c>
      <c r="GD15" s="517" t="str">
        <f t="shared" si="167"/>
        <v/>
      </c>
      <c r="GE15" s="517" t="str">
        <f t="shared" si="168"/>
        <v/>
      </c>
      <c r="GF15" s="517" t="str">
        <f t="shared" si="169"/>
        <v/>
      </c>
      <c r="GG15" s="517" t="str">
        <f t="shared" si="170"/>
        <v/>
      </c>
      <c r="GH15" s="517" t="str">
        <f t="shared" si="171"/>
        <v/>
      </c>
      <c r="GI15" s="517" t="str">
        <f t="shared" si="172"/>
        <v/>
      </c>
      <c r="GJ15" s="517" t="str">
        <f t="shared" si="173"/>
        <v/>
      </c>
      <c r="GK15" s="517" t="str">
        <f t="shared" si="174"/>
        <v/>
      </c>
      <c r="GL15" s="517" t="str">
        <f t="shared" si="175"/>
        <v/>
      </c>
      <c r="GM15" s="517" t="str">
        <f t="shared" si="176"/>
        <v/>
      </c>
      <c r="GN15" s="517" t="str">
        <f t="shared" si="177"/>
        <v/>
      </c>
      <c r="GO15" s="517" t="str">
        <f t="shared" si="178"/>
        <v/>
      </c>
      <c r="GP15" s="517" t="str">
        <f t="shared" si="179"/>
        <v/>
      </c>
      <c r="GQ15" s="517" t="str">
        <f t="shared" si="180"/>
        <v/>
      </c>
      <c r="GR15" s="517" t="str">
        <f t="shared" si="181"/>
        <v/>
      </c>
      <c r="GS15" s="517" t="str">
        <f t="shared" si="182"/>
        <v/>
      </c>
      <c r="GT15" s="517" t="str">
        <f t="shared" si="183"/>
        <v/>
      </c>
      <c r="GU15" s="517" t="str">
        <f t="shared" si="184"/>
        <v/>
      </c>
      <c r="GV15" s="517" t="str">
        <f t="shared" si="185"/>
        <v/>
      </c>
      <c r="GW15" s="517" t="str">
        <f t="shared" si="186"/>
        <v/>
      </c>
      <c r="GX15" s="517" t="str">
        <f t="shared" si="187"/>
        <v/>
      </c>
      <c r="GY15" s="517" t="str">
        <f t="shared" si="188"/>
        <v/>
      </c>
      <c r="GZ15" s="517" t="str">
        <f t="shared" si="189"/>
        <v/>
      </c>
      <c r="HA15" s="517" t="str">
        <f t="shared" si="190"/>
        <v/>
      </c>
      <c r="HB15" s="517" t="str">
        <f t="shared" si="191"/>
        <v/>
      </c>
      <c r="HC15" s="517" t="str">
        <f t="shared" si="192"/>
        <v/>
      </c>
      <c r="HD15" s="517" t="str">
        <f t="shared" si="193"/>
        <v/>
      </c>
      <c r="HE15" s="517" t="str">
        <f t="shared" si="194"/>
        <v/>
      </c>
      <c r="HF15" s="517" t="str">
        <f t="shared" si="195"/>
        <v/>
      </c>
      <c r="HG15" s="517" t="str">
        <f t="shared" si="196"/>
        <v/>
      </c>
      <c r="HH15" s="517" t="str">
        <f t="shared" si="197"/>
        <v/>
      </c>
      <c r="HI15" s="517" t="str">
        <f t="shared" si="198"/>
        <v/>
      </c>
      <c r="HJ15" s="517" t="str">
        <f t="shared" si="199"/>
        <v/>
      </c>
      <c r="HK15" s="517" t="str">
        <f t="shared" si="200"/>
        <v/>
      </c>
      <c r="HL15" s="517" t="str">
        <f t="shared" si="201"/>
        <v/>
      </c>
      <c r="HM15" s="517" t="str">
        <f t="shared" si="202"/>
        <v/>
      </c>
      <c r="HN15" s="517" t="str">
        <f t="shared" si="203"/>
        <v/>
      </c>
      <c r="HO15" s="517" t="str">
        <f t="shared" si="204"/>
        <v/>
      </c>
      <c r="HP15" s="517" t="str">
        <f t="shared" si="205"/>
        <v/>
      </c>
      <c r="HQ15" s="517" t="str">
        <f t="shared" si="206"/>
        <v/>
      </c>
      <c r="HR15" s="517" t="str">
        <f t="shared" si="207"/>
        <v/>
      </c>
      <c r="HS15" s="517" t="str">
        <f t="shared" si="208"/>
        <v/>
      </c>
      <c r="HT15" s="517" t="str">
        <f t="shared" si="209"/>
        <v/>
      </c>
      <c r="HU15" s="517">
        <f t="shared" si="210"/>
        <v>52</v>
      </c>
      <c r="HV15" s="517" t="str">
        <f t="shared" si="211"/>
        <v/>
      </c>
      <c r="HW15" s="517" t="str">
        <f t="shared" si="212"/>
        <v/>
      </c>
      <c r="HX15" s="517" t="str">
        <f t="shared" si="213"/>
        <v/>
      </c>
      <c r="HY15" s="517" t="str">
        <f t="shared" si="214"/>
        <v/>
      </c>
      <c r="HZ15" s="517" t="str">
        <f t="shared" si="215"/>
        <v/>
      </c>
      <c r="IA15" s="517" t="str">
        <f t="shared" si="216"/>
        <v/>
      </c>
      <c r="IB15" s="517" t="str">
        <f t="shared" si="217"/>
        <v/>
      </c>
      <c r="IC15" s="517" t="str">
        <f t="shared" si="218"/>
        <v/>
      </c>
      <c r="ID15" s="518" t="str">
        <f t="shared" si="219"/>
        <v/>
      </c>
      <c r="IE15" s="518" t="str">
        <f t="shared" si="220"/>
        <v/>
      </c>
      <c r="IF15" s="518" t="str">
        <f t="shared" si="221"/>
        <v/>
      </c>
      <c r="IG15" s="518" t="str">
        <f t="shared" si="222"/>
        <v/>
      </c>
      <c r="IH15" s="518" t="str">
        <f t="shared" si="223"/>
        <v/>
      </c>
      <c r="II15" s="507" t="str">
        <f t="shared" si="224"/>
        <v/>
      </c>
      <c r="IJ15" s="507" t="str">
        <f t="shared" si="225"/>
        <v/>
      </c>
      <c r="IK15" s="507" t="str">
        <f t="shared" si="226"/>
        <v/>
      </c>
      <c r="IL15" s="507" t="str">
        <f t="shared" si="227"/>
        <v/>
      </c>
      <c r="IM15" s="507" t="str">
        <f t="shared" si="228"/>
        <v/>
      </c>
      <c r="IN15" s="507" t="str">
        <f t="shared" si="229"/>
        <v/>
      </c>
      <c r="IO15" s="507" t="str">
        <f t="shared" si="230"/>
        <v/>
      </c>
      <c r="IP15" s="507" t="str">
        <f t="shared" si="231"/>
        <v/>
      </c>
      <c r="IQ15" s="507" t="str">
        <f t="shared" si="232"/>
        <v/>
      </c>
      <c r="IR15" s="507" t="str">
        <f t="shared" si="233"/>
        <v/>
      </c>
      <c r="IS15" s="507" t="str">
        <f t="shared" si="234"/>
        <v/>
      </c>
      <c r="IT15" s="507" t="str">
        <f t="shared" si="235"/>
        <v/>
      </c>
      <c r="IU15" s="507" t="str">
        <f t="shared" si="236"/>
        <v/>
      </c>
      <c r="IV15" s="507" t="str">
        <f t="shared" si="237"/>
        <v/>
      </c>
      <c r="IW15" s="507" t="str">
        <f t="shared" si="238"/>
        <v/>
      </c>
      <c r="IX15" s="507" t="str">
        <f t="shared" si="239"/>
        <v/>
      </c>
      <c r="IY15" s="507" t="str">
        <f t="shared" si="240"/>
        <v/>
      </c>
      <c r="IZ15" s="507" t="str">
        <f t="shared" si="241"/>
        <v/>
      </c>
      <c r="JA15" s="507" t="str">
        <f t="shared" si="242"/>
        <v/>
      </c>
      <c r="JB15" s="507" t="str">
        <f t="shared" si="243"/>
        <v/>
      </c>
      <c r="JC15" s="516">
        <f t="shared" si="244"/>
        <v>0</v>
      </c>
      <c r="JD15" s="516">
        <f t="shared" si="245"/>
        <v>52</v>
      </c>
      <c r="JE15" s="516">
        <f t="shared" si="246"/>
        <v>0</v>
      </c>
      <c r="JF15" s="516">
        <f t="shared" si="247"/>
        <v>0</v>
      </c>
      <c r="JG15" s="516">
        <f t="shared" si="248"/>
        <v>0</v>
      </c>
      <c r="JH15" s="516">
        <f t="shared" si="249"/>
        <v>0</v>
      </c>
      <c r="JI15" s="516">
        <f t="shared" si="250"/>
        <v>0</v>
      </c>
      <c r="JJ15" s="516">
        <f t="shared" si="251"/>
        <v>0</v>
      </c>
      <c r="JK15" s="516">
        <f t="shared" si="252"/>
        <v>0</v>
      </c>
      <c r="JL15" s="516">
        <f t="shared" si="253"/>
        <v>0</v>
      </c>
      <c r="JM15" s="516">
        <f t="shared" si="254"/>
        <v>0</v>
      </c>
      <c r="JN15" s="516">
        <f t="shared" si="255"/>
        <v>0</v>
      </c>
      <c r="JO15" s="516">
        <f t="shared" si="256"/>
        <v>0</v>
      </c>
      <c r="JP15" s="516">
        <f t="shared" si="257"/>
        <v>0</v>
      </c>
      <c r="JQ15" s="516">
        <f t="shared" si="258"/>
        <v>0</v>
      </c>
    </row>
    <row r="16" spans="1:296" ht="12" customHeight="1">
      <c r="A16" s="115" t="str">
        <f t="shared" si="0"/>
        <v/>
      </c>
      <c r="B16" s="2822" t="s">
        <v>1837</v>
      </c>
      <c r="C16" s="2823"/>
      <c r="D16" s="2824"/>
      <c r="E16" s="2825"/>
      <c r="F16" s="2825"/>
      <c r="G16" s="2825"/>
      <c r="H16" s="2825"/>
      <c r="I16" s="2825"/>
      <c r="J16" s="2826"/>
      <c r="K16" s="795">
        <f t="shared" si="1"/>
        <v>0</v>
      </c>
      <c r="L16" s="795">
        <f t="shared" si="2"/>
        <v>0</v>
      </c>
      <c r="M16" s="2827"/>
      <c r="N16" s="2827"/>
      <c r="O16" s="2827"/>
      <c r="P16" s="2828"/>
      <c r="Q16" s="1258" t="str">
        <f t="shared" si="3"/>
        <v/>
      </c>
      <c r="R16" s="1259" t="str">
        <f>IF(H16="","",IF(C16="Efficiency",Q16/($O$6*VLOOKUP(0,'DCA Underwriting Assumptions'!$J$132:$K$137,2,FALSE)),Q16/($O$6*VLOOKUP(C16,'DCA Underwriting Assumptions'!$J$132:$K$137,2,FALSE))))</f>
        <v/>
      </c>
      <c r="S16" s="2829"/>
      <c r="T16" s="2830"/>
      <c r="U16" s="2831"/>
      <c r="V16" s="2746"/>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0" t="str">
        <f t="shared" si="134"/>
        <v/>
      </c>
      <c r="EX16" s="517" t="str">
        <f t="shared" si="135"/>
        <v/>
      </c>
      <c r="EY16" s="517" t="str">
        <f t="shared" si="136"/>
        <v/>
      </c>
      <c r="EZ16" s="517" t="str">
        <f t="shared" si="137"/>
        <v/>
      </c>
      <c r="FA16" s="517" t="str">
        <f t="shared" si="138"/>
        <v/>
      </c>
      <c r="FB16" s="517" t="str">
        <f t="shared" si="139"/>
        <v/>
      </c>
      <c r="FC16" s="517" t="str">
        <f t="shared" si="140"/>
        <v/>
      </c>
      <c r="FD16" s="517" t="str">
        <f t="shared" si="141"/>
        <v/>
      </c>
      <c r="FE16" s="517" t="str">
        <f t="shared" si="142"/>
        <v/>
      </c>
      <c r="FF16" s="517" t="str">
        <f t="shared" si="143"/>
        <v/>
      </c>
      <c r="FG16" s="517" t="str">
        <f t="shared" si="144"/>
        <v/>
      </c>
      <c r="FH16" s="517" t="str">
        <f t="shared" si="145"/>
        <v/>
      </c>
      <c r="FI16" s="517" t="str">
        <f t="shared" si="146"/>
        <v/>
      </c>
      <c r="FJ16" s="517" t="str">
        <f t="shared" si="147"/>
        <v/>
      </c>
      <c r="FK16" s="517" t="str">
        <f t="shared" si="148"/>
        <v/>
      </c>
      <c r="FL16" s="517" t="str">
        <f t="shared" si="149"/>
        <v/>
      </c>
      <c r="FM16" s="517" t="str">
        <f t="shared" si="150"/>
        <v/>
      </c>
      <c r="FN16" s="517" t="str">
        <f t="shared" si="151"/>
        <v/>
      </c>
      <c r="FO16" s="517" t="str">
        <f t="shared" si="152"/>
        <v/>
      </c>
      <c r="FP16" s="517" t="str">
        <f t="shared" si="153"/>
        <v/>
      </c>
      <c r="FQ16" s="517" t="str">
        <f t="shared" si="154"/>
        <v/>
      </c>
      <c r="FR16" s="517" t="str">
        <f t="shared" si="155"/>
        <v/>
      </c>
      <c r="FS16" s="517" t="str">
        <f t="shared" si="156"/>
        <v/>
      </c>
      <c r="FT16" s="517" t="str">
        <f t="shared" si="157"/>
        <v/>
      </c>
      <c r="FU16" s="517" t="str">
        <f t="shared" si="158"/>
        <v/>
      </c>
      <c r="FV16" s="517" t="str">
        <f t="shared" si="159"/>
        <v/>
      </c>
      <c r="FW16" s="517" t="str">
        <f t="shared" si="160"/>
        <v/>
      </c>
      <c r="FX16" s="517" t="str">
        <f t="shared" si="161"/>
        <v/>
      </c>
      <c r="FY16" s="517" t="str">
        <f t="shared" si="162"/>
        <v/>
      </c>
      <c r="FZ16" s="517" t="str">
        <f t="shared" si="163"/>
        <v/>
      </c>
      <c r="GA16" s="517" t="str">
        <f t="shared" si="164"/>
        <v/>
      </c>
      <c r="GB16" s="517" t="str">
        <f t="shared" si="165"/>
        <v/>
      </c>
      <c r="GC16" s="517" t="str">
        <f t="shared" si="166"/>
        <v/>
      </c>
      <c r="GD16" s="517" t="str">
        <f t="shared" si="167"/>
        <v/>
      </c>
      <c r="GE16" s="517" t="str">
        <f t="shared" si="168"/>
        <v/>
      </c>
      <c r="GF16" s="517" t="str">
        <f t="shared" si="169"/>
        <v/>
      </c>
      <c r="GG16" s="517" t="str">
        <f t="shared" si="170"/>
        <v/>
      </c>
      <c r="GH16" s="517" t="str">
        <f t="shared" si="171"/>
        <v/>
      </c>
      <c r="GI16" s="517" t="str">
        <f t="shared" si="172"/>
        <v/>
      </c>
      <c r="GJ16" s="517" t="str">
        <f t="shared" si="173"/>
        <v/>
      </c>
      <c r="GK16" s="517" t="str">
        <f t="shared" si="174"/>
        <v/>
      </c>
      <c r="GL16" s="517" t="str">
        <f t="shared" si="175"/>
        <v/>
      </c>
      <c r="GM16" s="517" t="str">
        <f t="shared" si="176"/>
        <v/>
      </c>
      <c r="GN16" s="517" t="str">
        <f t="shared" si="177"/>
        <v/>
      </c>
      <c r="GO16" s="517" t="str">
        <f t="shared" si="178"/>
        <v/>
      </c>
      <c r="GP16" s="517" t="str">
        <f t="shared" si="179"/>
        <v/>
      </c>
      <c r="GQ16" s="517" t="str">
        <f t="shared" si="180"/>
        <v/>
      </c>
      <c r="GR16" s="517" t="str">
        <f t="shared" si="181"/>
        <v/>
      </c>
      <c r="GS16" s="517" t="str">
        <f t="shared" si="182"/>
        <v/>
      </c>
      <c r="GT16" s="517" t="str">
        <f t="shared" si="183"/>
        <v/>
      </c>
      <c r="GU16" s="517" t="str">
        <f t="shared" si="184"/>
        <v/>
      </c>
      <c r="GV16" s="517" t="str">
        <f t="shared" si="185"/>
        <v/>
      </c>
      <c r="GW16" s="517" t="str">
        <f t="shared" si="186"/>
        <v/>
      </c>
      <c r="GX16" s="517" t="str">
        <f t="shared" si="187"/>
        <v/>
      </c>
      <c r="GY16" s="517" t="str">
        <f t="shared" si="188"/>
        <v/>
      </c>
      <c r="GZ16" s="517" t="str">
        <f t="shared" si="189"/>
        <v/>
      </c>
      <c r="HA16" s="517" t="str">
        <f t="shared" si="190"/>
        <v/>
      </c>
      <c r="HB16" s="517" t="str">
        <f t="shared" si="191"/>
        <v/>
      </c>
      <c r="HC16" s="517" t="str">
        <f t="shared" si="192"/>
        <v/>
      </c>
      <c r="HD16" s="517" t="str">
        <f t="shared" si="193"/>
        <v/>
      </c>
      <c r="HE16" s="517" t="str">
        <f t="shared" si="194"/>
        <v/>
      </c>
      <c r="HF16" s="517" t="str">
        <f t="shared" si="195"/>
        <v/>
      </c>
      <c r="HG16" s="517" t="str">
        <f t="shared" si="196"/>
        <v/>
      </c>
      <c r="HH16" s="517" t="str">
        <f t="shared" si="197"/>
        <v/>
      </c>
      <c r="HI16" s="517" t="str">
        <f t="shared" si="198"/>
        <v/>
      </c>
      <c r="HJ16" s="517" t="str">
        <f t="shared" si="199"/>
        <v/>
      </c>
      <c r="HK16" s="517" t="str">
        <f t="shared" si="200"/>
        <v/>
      </c>
      <c r="HL16" s="517" t="str">
        <f t="shared" si="201"/>
        <v/>
      </c>
      <c r="HM16" s="517" t="str">
        <f t="shared" si="202"/>
        <v/>
      </c>
      <c r="HN16" s="517" t="str">
        <f t="shared" si="203"/>
        <v/>
      </c>
      <c r="HO16" s="517" t="str">
        <f t="shared" si="204"/>
        <v/>
      </c>
      <c r="HP16" s="517" t="str">
        <f t="shared" si="205"/>
        <v/>
      </c>
      <c r="HQ16" s="517" t="str">
        <f t="shared" si="206"/>
        <v/>
      </c>
      <c r="HR16" s="517" t="str">
        <f t="shared" si="207"/>
        <v/>
      </c>
      <c r="HS16" s="517" t="str">
        <f t="shared" si="208"/>
        <v/>
      </c>
      <c r="HT16" s="517" t="str">
        <f t="shared" si="209"/>
        <v/>
      </c>
      <c r="HU16" s="517" t="str">
        <f t="shared" si="210"/>
        <v/>
      </c>
      <c r="HV16" s="517" t="str">
        <f t="shared" si="211"/>
        <v/>
      </c>
      <c r="HW16" s="517" t="str">
        <f t="shared" si="212"/>
        <v/>
      </c>
      <c r="HX16" s="517" t="str">
        <f t="shared" si="213"/>
        <v/>
      </c>
      <c r="HY16" s="517" t="str">
        <f t="shared" si="214"/>
        <v/>
      </c>
      <c r="HZ16" s="517" t="str">
        <f t="shared" si="215"/>
        <v/>
      </c>
      <c r="IA16" s="517" t="str">
        <f t="shared" si="216"/>
        <v/>
      </c>
      <c r="IB16" s="517" t="str">
        <f t="shared" si="217"/>
        <v/>
      </c>
      <c r="IC16" s="517" t="str">
        <f t="shared" si="218"/>
        <v/>
      </c>
      <c r="ID16" s="518" t="str">
        <f t="shared" si="219"/>
        <v/>
      </c>
      <c r="IE16" s="518" t="str">
        <f t="shared" si="220"/>
        <v/>
      </c>
      <c r="IF16" s="518" t="str">
        <f t="shared" si="221"/>
        <v/>
      </c>
      <c r="IG16" s="518" t="str">
        <f t="shared" si="222"/>
        <v/>
      </c>
      <c r="IH16" s="518" t="str">
        <f t="shared" si="223"/>
        <v/>
      </c>
      <c r="II16" s="507" t="str">
        <f t="shared" si="224"/>
        <v/>
      </c>
      <c r="IJ16" s="507" t="str">
        <f t="shared" si="225"/>
        <v/>
      </c>
      <c r="IK16" s="507" t="str">
        <f t="shared" si="226"/>
        <v/>
      </c>
      <c r="IL16" s="507" t="str">
        <f t="shared" si="227"/>
        <v/>
      </c>
      <c r="IM16" s="507" t="str">
        <f t="shared" si="228"/>
        <v/>
      </c>
      <c r="IN16" s="507" t="str">
        <f t="shared" si="229"/>
        <v/>
      </c>
      <c r="IO16" s="507" t="str">
        <f t="shared" si="230"/>
        <v/>
      </c>
      <c r="IP16" s="507" t="str">
        <f t="shared" si="231"/>
        <v/>
      </c>
      <c r="IQ16" s="507" t="str">
        <f t="shared" si="232"/>
        <v/>
      </c>
      <c r="IR16" s="507" t="str">
        <f t="shared" si="233"/>
        <v/>
      </c>
      <c r="IS16" s="507" t="str">
        <f t="shared" si="234"/>
        <v/>
      </c>
      <c r="IT16" s="507" t="str">
        <f t="shared" si="235"/>
        <v/>
      </c>
      <c r="IU16" s="507" t="str">
        <f t="shared" si="236"/>
        <v/>
      </c>
      <c r="IV16" s="507" t="str">
        <f t="shared" si="237"/>
        <v/>
      </c>
      <c r="IW16" s="507" t="str">
        <f t="shared" si="238"/>
        <v/>
      </c>
      <c r="IX16" s="507" t="str">
        <f t="shared" si="239"/>
        <v/>
      </c>
      <c r="IY16" s="507" t="str">
        <f t="shared" si="240"/>
        <v/>
      </c>
      <c r="IZ16" s="507" t="str">
        <f t="shared" si="241"/>
        <v/>
      </c>
      <c r="JA16" s="507" t="str">
        <f t="shared" si="242"/>
        <v/>
      </c>
      <c r="JB16" s="507" t="str">
        <f t="shared" si="243"/>
        <v/>
      </c>
      <c r="JC16" s="516">
        <f t="shared" si="244"/>
        <v>0</v>
      </c>
      <c r="JD16" s="516">
        <f t="shared" si="245"/>
        <v>0</v>
      </c>
      <c r="JE16" s="516">
        <f t="shared" si="246"/>
        <v>0</v>
      </c>
      <c r="JF16" s="516">
        <f t="shared" si="247"/>
        <v>0</v>
      </c>
      <c r="JG16" s="516">
        <f t="shared" si="248"/>
        <v>0</v>
      </c>
      <c r="JH16" s="516">
        <f t="shared" si="249"/>
        <v>0</v>
      </c>
      <c r="JI16" s="516">
        <f t="shared" si="250"/>
        <v>0</v>
      </c>
      <c r="JJ16" s="516">
        <f t="shared" si="251"/>
        <v>0</v>
      </c>
      <c r="JK16" s="516">
        <f t="shared" si="252"/>
        <v>0</v>
      </c>
      <c r="JL16" s="516">
        <f t="shared" si="253"/>
        <v>0</v>
      </c>
      <c r="JM16" s="516">
        <f t="shared" si="254"/>
        <v>0</v>
      </c>
      <c r="JN16" s="516">
        <f t="shared" si="255"/>
        <v>0</v>
      </c>
      <c r="JO16" s="516">
        <f t="shared" si="256"/>
        <v>0</v>
      </c>
      <c r="JP16" s="516">
        <f t="shared" si="257"/>
        <v>0</v>
      </c>
      <c r="JQ16" s="516">
        <f t="shared" si="258"/>
        <v>0</v>
      </c>
    </row>
    <row r="17" spans="1:277" ht="12" customHeight="1">
      <c r="A17" s="115" t="str">
        <f t="shared" si="0"/>
        <v/>
      </c>
      <c r="B17" s="2822" t="s">
        <v>1837</v>
      </c>
      <c r="C17" s="2823"/>
      <c r="D17" s="2824"/>
      <c r="E17" s="2825"/>
      <c r="F17" s="2825"/>
      <c r="G17" s="2825"/>
      <c r="H17" s="2825"/>
      <c r="I17" s="2825"/>
      <c r="J17" s="2826"/>
      <c r="K17" s="795">
        <f t="shared" si="1"/>
        <v>0</v>
      </c>
      <c r="L17" s="795">
        <f t="shared" si="2"/>
        <v>0</v>
      </c>
      <c r="M17" s="2827"/>
      <c r="N17" s="2827"/>
      <c r="O17" s="2827"/>
      <c r="P17" s="2828"/>
      <c r="Q17" s="1258" t="str">
        <f t="shared" si="3"/>
        <v/>
      </c>
      <c r="R17" s="1259" t="str">
        <f>IF(H17="","",IF(C17="Efficiency",Q17/($O$6*VLOOKUP(0,'DCA Underwriting Assumptions'!$J$132:$K$137,2,FALSE)),Q17/($O$6*VLOOKUP(C17,'DCA Underwriting Assumptions'!$J$132:$K$137,2,FALSE))))</f>
        <v/>
      </c>
      <c r="S17" s="2829"/>
      <c r="T17" s="2830"/>
      <c r="U17" s="2831"/>
      <c r="V17" s="2746"/>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0" t="str">
        <f t="shared" si="134"/>
        <v/>
      </c>
      <c r="EX17" s="517" t="str">
        <f t="shared" si="135"/>
        <v/>
      </c>
      <c r="EY17" s="517" t="str">
        <f t="shared" si="136"/>
        <v/>
      </c>
      <c r="EZ17" s="517" t="str">
        <f t="shared" si="137"/>
        <v/>
      </c>
      <c r="FA17" s="517" t="str">
        <f t="shared" si="138"/>
        <v/>
      </c>
      <c r="FB17" s="517" t="str">
        <f t="shared" si="139"/>
        <v/>
      </c>
      <c r="FC17" s="517" t="str">
        <f t="shared" si="140"/>
        <v/>
      </c>
      <c r="FD17" s="517" t="str">
        <f t="shared" si="141"/>
        <v/>
      </c>
      <c r="FE17" s="517" t="str">
        <f t="shared" si="142"/>
        <v/>
      </c>
      <c r="FF17" s="517" t="str">
        <f t="shared" si="143"/>
        <v/>
      </c>
      <c r="FG17" s="517" t="str">
        <f t="shared" si="144"/>
        <v/>
      </c>
      <c r="FH17" s="517" t="str">
        <f t="shared" si="145"/>
        <v/>
      </c>
      <c r="FI17" s="517" t="str">
        <f t="shared" si="146"/>
        <v/>
      </c>
      <c r="FJ17" s="517" t="str">
        <f t="shared" si="147"/>
        <v/>
      </c>
      <c r="FK17" s="517" t="str">
        <f t="shared" si="148"/>
        <v/>
      </c>
      <c r="FL17" s="517" t="str">
        <f t="shared" si="149"/>
        <v/>
      </c>
      <c r="FM17" s="517" t="str">
        <f t="shared" si="150"/>
        <v/>
      </c>
      <c r="FN17" s="517" t="str">
        <f t="shared" si="151"/>
        <v/>
      </c>
      <c r="FO17" s="517" t="str">
        <f t="shared" si="152"/>
        <v/>
      </c>
      <c r="FP17" s="517" t="str">
        <f t="shared" si="153"/>
        <v/>
      </c>
      <c r="FQ17" s="517" t="str">
        <f t="shared" si="154"/>
        <v/>
      </c>
      <c r="FR17" s="517" t="str">
        <f t="shared" si="155"/>
        <v/>
      </c>
      <c r="FS17" s="517" t="str">
        <f t="shared" si="156"/>
        <v/>
      </c>
      <c r="FT17" s="517" t="str">
        <f t="shared" si="157"/>
        <v/>
      </c>
      <c r="FU17" s="517" t="str">
        <f t="shared" si="158"/>
        <v/>
      </c>
      <c r="FV17" s="517" t="str">
        <f t="shared" si="159"/>
        <v/>
      </c>
      <c r="FW17" s="517" t="str">
        <f t="shared" si="160"/>
        <v/>
      </c>
      <c r="FX17" s="517" t="str">
        <f t="shared" si="161"/>
        <v/>
      </c>
      <c r="FY17" s="517" t="str">
        <f t="shared" si="162"/>
        <v/>
      </c>
      <c r="FZ17" s="517" t="str">
        <f t="shared" si="163"/>
        <v/>
      </c>
      <c r="GA17" s="517" t="str">
        <f t="shared" si="164"/>
        <v/>
      </c>
      <c r="GB17" s="517" t="str">
        <f t="shared" si="165"/>
        <v/>
      </c>
      <c r="GC17" s="517" t="str">
        <f t="shared" si="166"/>
        <v/>
      </c>
      <c r="GD17" s="517" t="str">
        <f t="shared" si="167"/>
        <v/>
      </c>
      <c r="GE17" s="517" t="str">
        <f t="shared" si="168"/>
        <v/>
      </c>
      <c r="GF17" s="517" t="str">
        <f t="shared" si="169"/>
        <v/>
      </c>
      <c r="GG17" s="517" t="str">
        <f t="shared" si="170"/>
        <v/>
      </c>
      <c r="GH17" s="517" t="str">
        <f t="shared" si="171"/>
        <v/>
      </c>
      <c r="GI17" s="517" t="str">
        <f t="shared" si="172"/>
        <v/>
      </c>
      <c r="GJ17" s="517" t="str">
        <f t="shared" si="173"/>
        <v/>
      </c>
      <c r="GK17" s="517" t="str">
        <f t="shared" si="174"/>
        <v/>
      </c>
      <c r="GL17" s="517" t="str">
        <f t="shared" si="175"/>
        <v/>
      </c>
      <c r="GM17" s="517" t="str">
        <f t="shared" si="176"/>
        <v/>
      </c>
      <c r="GN17" s="517" t="str">
        <f t="shared" si="177"/>
        <v/>
      </c>
      <c r="GO17" s="517" t="str">
        <f t="shared" si="178"/>
        <v/>
      </c>
      <c r="GP17" s="517" t="str">
        <f t="shared" si="179"/>
        <v/>
      </c>
      <c r="GQ17" s="517" t="str">
        <f t="shared" si="180"/>
        <v/>
      </c>
      <c r="GR17" s="517" t="str">
        <f t="shared" si="181"/>
        <v/>
      </c>
      <c r="GS17" s="517" t="str">
        <f t="shared" si="182"/>
        <v/>
      </c>
      <c r="GT17" s="517" t="str">
        <f t="shared" si="183"/>
        <v/>
      </c>
      <c r="GU17" s="517" t="str">
        <f t="shared" si="184"/>
        <v/>
      </c>
      <c r="GV17" s="517" t="str">
        <f t="shared" si="185"/>
        <v/>
      </c>
      <c r="GW17" s="517" t="str">
        <f t="shared" si="186"/>
        <v/>
      </c>
      <c r="GX17" s="517" t="str">
        <f t="shared" si="187"/>
        <v/>
      </c>
      <c r="GY17" s="517" t="str">
        <f t="shared" si="188"/>
        <v/>
      </c>
      <c r="GZ17" s="517" t="str">
        <f t="shared" si="189"/>
        <v/>
      </c>
      <c r="HA17" s="517" t="str">
        <f t="shared" si="190"/>
        <v/>
      </c>
      <c r="HB17" s="517" t="str">
        <f t="shared" si="191"/>
        <v/>
      </c>
      <c r="HC17" s="517" t="str">
        <f t="shared" si="192"/>
        <v/>
      </c>
      <c r="HD17" s="517" t="str">
        <f t="shared" si="193"/>
        <v/>
      </c>
      <c r="HE17" s="517" t="str">
        <f t="shared" si="194"/>
        <v/>
      </c>
      <c r="HF17" s="517" t="str">
        <f t="shared" si="195"/>
        <v/>
      </c>
      <c r="HG17" s="517" t="str">
        <f t="shared" si="196"/>
        <v/>
      </c>
      <c r="HH17" s="517" t="str">
        <f t="shared" si="197"/>
        <v/>
      </c>
      <c r="HI17" s="517" t="str">
        <f t="shared" si="198"/>
        <v/>
      </c>
      <c r="HJ17" s="517" t="str">
        <f t="shared" si="199"/>
        <v/>
      </c>
      <c r="HK17" s="517" t="str">
        <f t="shared" si="200"/>
        <v/>
      </c>
      <c r="HL17" s="517" t="str">
        <f t="shared" si="201"/>
        <v/>
      </c>
      <c r="HM17" s="517" t="str">
        <f t="shared" si="202"/>
        <v/>
      </c>
      <c r="HN17" s="517" t="str">
        <f t="shared" si="203"/>
        <v/>
      </c>
      <c r="HO17" s="517" t="str">
        <f t="shared" si="204"/>
        <v/>
      </c>
      <c r="HP17" s="517" t="str">
        <f t="shared" si="205"/>
        <v/>
      </c>
      <c r="HQ17" s="517" t="str">
        <f t="shared" si="206"/>
        <v/>
      </c>
      <c r="HR17" s="517" t="str">
        <f t="shared" si="207"/>
        <v/>
      </c>
      <c r="HS17" s="517" t="str">
        <f t="shared" si="208"/>
        <v/>
      </c>
      <c r="HT17" s="517" t="str">
        <f t="shared" si="209"/>
        <v/>
      </c>
      <c r="HU17" s="517" t="str">
        <f t="shared" si="210"/>
        <v/>
      </c>
      <c r="HV17" s="517" t="str">
        <f t="shared" si="211"/>
        <v/>
      </c>
      <c r="HW17" s="517" t="str">
        <f t="shared" si="212"/>
        <v/>
      </c>
      <c r="HX17" s="517" t="str">
        <f t="shared" si="213"/>
        <v/>
      </c>
      <c r="HY17" s="517" t="str">
        <f t="shared" si="214"/>
        <v/>
      </c>
      <c r="HZ17" s="517" t="str">
        <f t="shared" si="215"/>
        <v/>
      </c>
      <c r="IA17" s="517" t="str">
        <f t="shared" si="216"/>
        <v/>
      </c>
      <c r="IB17" s="517" t="str">
        <f t="shared" si="217"/>
        <v/>
      </c>
      <c r="IC17" s="517" t="str">
        <f t="shared" si="218"/>
        <v/>
      </c>
      <c r="ID17" s="518" t="str">
        <f t="shared" si="219"/>
        <v/>
      </c>
      <c r="IE17" s="518" t="str">
        <f t="shared" si="220"/>
        <v/>
      </c>
      <c r="IF17" s="518" t="str">
        <f t="shared" si="221"/>
        <v/>
      </c>
      <c r="IG17" s="518" t="str">
        <f t="shared" si="222"/>
        <v/>
      </c>
      <c r="IH17" s="518" t="str">
        <f t="shared" si="223"/>
        <v/>
      </c>
      <c r="II17" s="507" t="str">
        <f t="shared" si="224"/>
        <v/>
      </c>
      <c r="IJ17" s="507" t="str">
        <f t="shared" si="225"/>
        <v/>
      </c>
      <c r="IK17" s="507" t="str">
        <f t="shared" si="226"/>
        <v/>
      </c>
      <c r="IL17" s="507" t="str">
        <f t="shared" si="227"/>
        <v/>
      </c>
      <c r="IM17" s="507" t="str">
        <f t="shared" si="228"/>
        <v/>
      </c>
      <c r="IN17" s="507" t="str">
        <f t="shared" si="229"/>
        <v/>
      </c>
      <c r="IO17" s="507" t="str">
        <f t="shared" si="230"/>
        <v/>
      </c>
      <c r="IP17" s="507" t="str">
        <f t="shared" si="231"/>
        <v/>
      </c>
      <c r="IQ17" s="507" t="str">
        <f t="shared" si="232"/>
        <v/>
      </c>
      <c r="IR17" s="507" t="str">
        <f t="shared" si="233"/>
        <v/>
      </c>
      <c r="IS17" s="507" t="str">
        <f t="shared" si="234"/>
        <v/>
      </c>
      <c r="IT17" s="507" t="str">
        <f t="shared" si="235"/>
        <v/>
      </c>
      <c r="IU17" s="507" t="str">
        <f t="shared" si="236"/>
        <v/>
      </c>
      <c r="IV17" s="507" t="str">
        <f t="shared" si="237"/>
        <v/>
      </c>
      <c r="IW17" s="507" t="str">
        <f t="shared" si="238"/>
        <v/>
      </c>
      <c r="IX17" s="507" t="str">
        <f t="shared" si="239"/>
        <v/>
      </c>
      <c r="IY17" s="507" t="str">
        <f t="shared" si="240"/>
        <v/>
      </c>
      <c r="IZ17" s="507" t="str">
        <f t="shared" si="241"/>
        <v/>
      </c>
      <c r="JA17" s="507" t="str">
        <f t="shared" si="242"/>
        <v/>
      </c>
      <c r="JB17" s="507" t="str">
        <f t="shared" si="243"/>
        <v/>
      </c>
      <c r="JC17" s="516">
        <f t="shared" si="244"/>
        <v>0</v>
      </c>
      <c r="JD17" s="516">
        <f t="shared" si="245"/>
        <v>0</v>
      </c>
      <c r="JE17" s="516">
        <f t="shared" si="246"/>
        <v>0</v>
      </c>
      <c r="JF17" s="516">
        <f t="shared" si="247"/>
        <v>0</v>
      </c>
      <c r="JG17" s="516">
        <f t="shared" si="248"/>
        <v>0</v>
      </c>
      <c r="JH17" s="516">
        <f t="shared" si="249"/>
        <v>0</v>
      </c>
      <c r="JI17" s="516">
        <f t="shared" si="250"/>
        <v>0</v>
      </c>
      <c r="JJ17" s="516">
        <f t="shared" si="251"/>
        <v>0</v>
      </c>
      <c r="JK17" s="516">
        <f t="shared" si="252"/>
        <v>0</v>
      </c>
      <c r="JL17" s="516">
        <f t="shared" si="253"/>
        <v>0</v>
      </c>
      <c r="JM17" s="516">
        <f t="shared" si="254"/>
        <v>0</v>
      </c>
      <c r="JN17" s="516">
        <f t="shared" si="255"/>
        <v>0</v>
      </c>
      <c r="JO17" s="516">
        <f t="shared" si="256"/>
        <v>0</v>
      </c>
      <c r="JP17" s="516">
        <f t="shared" si="257"/>
        <v>0</v>
      </c>
      <c r="JQ17" s="516">
        <f t="shared" si="258"/>
        <v>0</v>
      </c>
    </row>
    <row r="18" spans="1:277" ht="12" customHeight="1">
      <c r="A18" s="115" t="str">
        <f t="shared" si="0"/>
        <v/>
      </c>
      <c r="B18" s="2822" t="s">
        <v>1837</v>
      </c>
      <c r="C18" s="2823"/>
      <c r="D18" s="2824"/>
      <c r="E18" s="2825"/>
      <c r="F18" s="2825"/>
      <c r="G18" s="2825"/>
      <c r="H18" s="2825"/>
      <c r="I18" s="2825"/>
      <c r="J18" s="2826"/>
      <c r="K18" s="795">
        <f t="shared" si="1"/>
        <v>0</v>
      </c>
      <c r="L18" s="795">
        <f t="shared" si="2"/>
        <v>0</v>
      </c>
      <c r="M18" s="2827"/>
      <c r="N18" s="2827"/>
      <c r="O18" s="2827"/>
      <c r="P18" s="2828"/>
      <c r="Q18" s="1258" t="str">
        <f t="shared" si="3"/>
        <v/>
      </c>
      <c r="R18" s="1259" t="str">
        <f>IF(H18="","",IF(C18="Efficiency",Q18/($O$6*VLOOKUP(0,'DCA Underwriting Assumptions'!$J$132:$K$137,2,FALSE)),Q18/($O$6*VLOOKUP(C18,'DCA Underwriting Assumptions'!$J$132:$K$137,2,FALSE))))</f>
        <v/>
      </c>
      <c r="S18" s="2829"/>
      <c r="T18" s="2830"/>
      <c r="U18" s="2831"/>
      <c r="V18" s="2746"/>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0" t="str">
        <f t="shared" si="134"/>
        <v/>
      </c>
      <c r="EX18" s="517" t="str">
        <f t="shared" si="135"/>
        <v/>
      </c>
      <c r="EY18" s="517" t="str">
        <f t="shared" si="136"/>
        <v/>
      </c>
      <c r="EZ18" s="517" t="str">
        <f t="shared" si="137"/>
        <v/>
      </c>
      <c r="FA18" s="517" t="str">
        <f t="shared" si="138"/>
        <v/>
      </c>
      <c r="FB18" s="517" t="str">
        <f t="shared" si="139"/>
        <v/>
      </c>
      <c r="FC18" s="517" t="str">
        <f t="shared" si="140"/>
        <v/>
      </c>
      <c r="FD18" s="517" t="str">
        <f t="shared" si="141"/>
        <v/>
      </c>
      <c r="FE18" s="517" t="str">
        <f t="shared" si="142"/>
        <v/>
      </c>
      <c r="FF18" s="517" t="str">
        <f t="shared" si="143"/>
        <v/>
      </c>
      <c r="FG18" s="517" t="str">
        <f t="shared" si="144"/>
        <v/>
      </c>
      <c r="FH18" s="517" t="str">
        <f t="shared" si="145"/>
        <v/>
      </c>
      <c r="FI18" s="517" t="str">
        <f t="shared" si="146"/>
        <v/>
      </c>
      <c r="FJ18" s="517" t="str">
        <f t="shared" si="147"/>
        <v/>
      </c>
      <c r="FK18" s="517" t="str">
        <f t="shared" si="148"/>
        <v/>
      </c>
      <c r="FL18" s="517" t="str">
        <f t="shared" si="149"/>
        <v/>
      </c>
      <c r="FM18" s="517" t="str">
        <f t="shared" si="150"/>
        <v/>
      </c>
      <c r="FN18" s="517" t="str">
        <f t="shared" si="151"/>
        <v/>
      </c>
      <c r="FO18" s="517" t="str">
        <f t="shared" si="152"/>
        <v/>
      </c>
      <c r="FP18" s="517" t="str">
        <f t="shared" si="153"/>
        <v/>
      </c>
      <c r="FQ18" s="517" t="str">
        <f t="shared" si="154"/>
        <v/>
      </c>
      <c r="FR18" s="517" t="str">
        <f t="shared" si="155"/>
        <v/>
      </c>
      <c r="FS18" s="517" t="str">
        <f t="shared" si="156"/>
        <v/>
      </c>
      <c r="FT18" s="517" t="str">
        <f t="shared" si="157"/>
        <v/>
      </c>
      <c r="FU18" s="517" t="str">
        <f t="shared" si="158"/>
        <v/>
      </c>
      <c r="FV18" s="517" t="str">
        <f t="shared" si="159"/>
        <v/>
      </c>
      <c r="FW18" s="517" t="str">
        <f t="shared" si="160"/>
        <v/>
      </c>
      <c r="FX18" s="517" t="str">
        <f t="shared" si="161"/>
        <v/>
      </c>
      <c r="FY18" s="517" t="str">
        <f t="shared" si="162"/>
        <v/>
      </c>
      <c r="FZ18" s="517" t="str">
        <f t="shared" si="163"/>
        <v/>
      </c>
      <c r="GA18" s="517" t="str">
        <f t="shared" si="164"/>
        <v/>
      </c>
      <c r="GB18" s="517" t="str">
        <f t="shared" si="165"/>
        <v/>
      </c>
      <c r="GC18" s="517" t="str">
        <f t="shared" si="166"/>
        <v/>
      </c>
      <c r="GD18" s="517" t="str">
        <f t="shared" si="167"/>
        <v/>
      </c>
      <c r="GE18" s="517" t="str">
        <f t="shared" si="168"/>
        <v/>
      </c>
      <c r="GF18" s="517" t="str">
        <f t="shared" si="169"/>
        <v/>
      </c>
      <c r="GG18" s="517" t="str">
        <f t="shared" si="170"/>
        <v/>
      </c>
      <c r="GH18" s="517" t="str">
        <f t="shared" si="171"/>
        <v/>
      </c>
      <c r="GI18" s="517" t="str">
        <f t="shared" si="172"/>
        <v/>
      </c>
      <c r="GJ18" s="517" t="str">
        <f t="shared" si="173"/>
        <v/>
      </c>
      <c r="GK18" s="517" t="str">
        <f t="shared" si="174"/>
        <v/>
      </c>
      <c r="GL18" s="517" t="str">
        <f t="shared" si="175"/>
        <v/>
      </c>
      <c r="GM18" s="517" t="str">
        <f t="shared" si="176"/>
        <v/>
      </c>
      <c r="GN18" s="517" t="str">
        <f t="shared" si="177"/>
        <v/>
      </c>
      <c r="GO18" s="517" t="str">
        <f t="shared" si="178"/>
        <v/>
      </c>
      <c r="GP18" s="517" t="str">
        <f t="shared" si="179"/>
        <v/>
      </c>
      <c r="GQ18" s="517" t="str">
        <f t="shared" si="180"/>
        <v/>
      </c>
      <c r="GR18" s="517" t="str">
        <f t="shared" si="181"/>
        <v/>
      </c>
      <c r="GS18" s="517" t="str">
        <f t="shared" si="182"/>
        <v/>
      </c>
      <c r="GT18" s="517" t="str">
        <f t="shared" si="183"/>
        <v/>
      </c>
      <c r="GU18" s="517" t="str">
        <f t="shared" si="184"/>
        <v/>
      </c>
      <c r="GV18" s="517" t="str">
        <f t="shared" si="185"/>
        <v/>
      </c>
      <c r="GW18" s="517" t="str">
        <f t="shared" si="186"/>
        <v/>
      </c>
      <c r="GX18" s="517" t="str">
        <f t="shared" si="187"/>
        <v/>
      </c>
      <c r="GY18" s="517" t="str">
        <f t="shared" si="188"/>
        <v/>
      </c>
      <c r="GZ18" s="517" t="str">
        <f t="shared" si="189"/>
        <v/>
      </c>
      <c r="HA18" s="517" t="str">
        <f t="shared" si="190"/>
        <v/>
      </c>
      <c r="HB18" s="517" t="str">
        <f t="shared" si="191"/>
        <v/>
      </c>
      <c r="HC18" s="517" t="str">
        <f t="shared" si="192"/>
        <v/>
      </c>
      <c r="HD18" s="517" t="str">
        <f t="shared" si="193"/>
        <v/>
      </c>
      <c r="HE18" s="517" t="str">
        <f t="shared" si="194"/>
        <v/>
      </c>
      <c r="HF18" s="517" t="str">
        <f t="shared" si="195"/>
        <v/>
      </c>
      <c r="HG18" s="517" t="str">
        <f t="shared" si="196"/>
        <v/>
      </c>
      <c r="HH18" s="517" t="str">
        <f t="shared" si="197"/>
        <v/>
      </c>
      <c r="HI18" s="517" t="str">
        <f t="shared" si="198"/>
        <v/>
      </c>
      <c r="HJ18" s="517" t="str">
        <f t="shared" si="199"/>
        <v/>
      </c>
      <c r="HK18" s="517" t="str">
        <f t="shared" si="200"/>
        <v/>
      </c>
      <c r="HL18" s="517" t="str">
        <f t="shared" si="201"/>
        <v/>
      </c>
      <c r="HM18" s="517" t="str">
        <f t="shared" si="202"/>
        <v/>
      </c>
      <c r="HN18" s="517" t="str">
        <f t="shared" si="203"/>
        <v/>
      </c>
      <c r="HO18" s="517" t="str">
        <f t="shared" si="204"/>
        <v/>
      </c>
      <c r="HP18" s="517" t="str">
        <f t="shared" si="205"/>
        <v/>
      </c>
      <c r="HQ18" s="517" t="str">
        <f t="shared" si="206"/>
        <v/>
      </c>
      <c r="HR18" s="517" t="str">
        <f t="shared" si="207"/>
        <v/>
      </c>
      <c r="HS18" s="517" t="str">
        <f t="shared" si="208"/>
        <v/>
      </c>
      <c r="HT18" s="517" t="str">
        <f t="shared" si="209"/>
        <v/>
      </c>
      <c r="HU18" s="517" t="str">
        <f t="shared" si="210"/>
        <v/>
      </c>
      <c r="HV18" s="517" t="str">
        <f t="shared" si="211"/>
        <v/>
      </c>
      <c r="HW18" s="517" t="str">
        <f t="shared" si="212"/>
        <v/>
      </c>
      <c r="HX18" s="517" t="str">
        <f t="shared" si="213"/>
        <v/>
      </c>
      <c r="HY18" s="517" t="str">
        <f t="shared" si="214"/>
        <v/>
      </c>
      <c r="HZ18" s="517" t="str">
        <f t="shared" si="215"/>
        <v/>
      </c>
      <c r="IA18" s="517" t="str">
        <f t="shared" si="216"/>
        <v/>
      </c>
      <c r="IB18" s="517" t="str">
        <f t="shared" si="217"/>
        <v/>
      </c>
      <c r="IC18" s="517" t="str">
        <f t="shared" si="218"/>
        <v/>
      </c>
      <c r="ID18" s="518" t="str">
        <f t="shared" si="219"/>
        <v/>
      </c>
      <c r="IE18" s="518" t="str">
        <f t="shared" si="220"/>
        <v/>
      </c>
      <c r="IF18" s="518" t="str">
        <f t="shared" si="221"/>
        <v/>
      </c>
      <c r="IG18" s="518" t="str">
        <f t="shared" si="222"/>
        <v/>
      </c>
      <c r="IH18" s="518" t="str">
        <f t="shared" si="223"/>
        <v/>
      </c>
      <c r="II18" s="507" t="str">
        <f t="shared" si="224"/>
        <v/>
      </c>
      <c r="IJ18" s="507" t="str">
        <f t="shared" si="225"/>
        <v/>
      </c>
      <c r="IK18" s="507" t="str">
        <f t="shared" si="226"/>
        <v/>
      </c>
      <c r="IL18" s="507" t="str">
        <f t="shared" si="227"/>
        <v/>
      </c>
      <c r="IM18" s="507" t="str">
        <f t="shared" si="228"/>
        <v/>
      </c>
      <c r="IN18" s="507" t="str">
        <f t="shared" si="229"/>
        <v/>
      </c>
      <c r="IO18" s="507" t="str">
        <f t="shared" si="230"/>
        <v/>
      </c>
      <c r="IP18" s="507" t="str">
        <f t="shared" si="231"/>
        <v/>
      </c>
      <c r="IQ18" s="507" t="str">
        <f t="shared" si="232"/>
        <v/>
      </c>
      <c r="IR18" s="507" t="str">
        <f t="shared" si="233"/>
        <v/>
      </c>
      <c r="IS18" s="507" t="str">
        <f t="shared" si="234"/>
        <v/>
      </c>
      <c r="IT18" s="507" t="str">
        <f t="shared" si="235"/>
        <v/>
      </c>
      <c r="IU18" s="507" t="str">
        <f t="shared" si="236"/>
        <v/>
      </c>
      <c r="IV18" s="507" t="str">
        <f t="shared" si="237"/>
        <v/>
      </c>
      <c r="IW18" s="507" t="str">
        <f t="shared" si="238"/>
        <v/>
      </c>
      <c r="IX18" s="507" t="str">
        <f t="shared" si="239"/>
        <v/>
      </c>
      <c r="IY18" s="507" t="str">
        <f t="shared" si="240"/>
        <v/>
      </c>
      <c r="IZ18" s="507" t="str">
        <f t="shared" si="241"/>
        <v/>
      </c>
      <c r="JA18" s="507" t="str">
        <f t="shared" si="242"/>
        <v/>
      </c>
      <c r="JB18" s="507" t="str">
        <f t="shared" si="243"/>
        <v/>
      </c>
      <c r="JC18" s="516">
        <f t="shared" si="244"/>
        <v>0</v>
      </c>
      <c r="JD18" s="516">
        <f t="shared" si="245"/>
        <v>0</v>
      </c>
      <c r="JE18" s="516">
        <f t="shared" si="246"/>
        <v>0</v>
      </c>
      <c r="JF18" s="516">
        <f t="shared" si="247"/>
        <v>0</v>
      </c>
      <c r="JG18" s="516">
        <f t="shared" si="248"/>
        <v>0</v>
      </c>
      <c r="JH18" s="516">
        <f t="shared" si="249"/>
        <v>0</v>
      </c>
      <c r="JI18" s="516">
        <f t="shared" si="250"/>
        <v>0</v>
      </c>
      <c r="JJ18" s="516">
        <f t="shared" si="251"/>
        <v>0</v>
      </c>
      <c r="JK18" s="516">
        <f t="shared" si="252"/>
        <v>0</v>
      </c>
      <c r="JL18" s="516">
        <f t="shared" si="253"/>
        <v>0</v>
      </c>
      <c r="JM18" s="516">
        <f t="shared" si="254"/>
        <v>0</v>
      </c>
      <c r="JN18" s="516">
        <f t="shared" si="255"/>
        <v>0</v>
      </c>
      <c r="JO18" s="516">
        <f t="shared" si="256"/>
        <v>0</v>
      </c>
      <c r="JP18" s="516">
        <f t="shared" si="257"/>
        <v>0</v>
      </c>
      <c r="JQ18" s="516">
        <f t="shared" si="258"/>
        <v>0</v>
      </c>
    </row>
    <row r="19" spans="1:277" ht="12" customHeight="1">
      <c r="A19" s="115" t="str">
        <f t="shared" si="0"/>
        <v/>
      </c>
      <c r="B19" s="2822" t="s">
        <v>1837</v>
      </c>
      <c r="C19" s="2823"/>
      <c r="D19" s="2824"/>
      <c r="E19" s="2825"/>
      <c r="F19" s="2825"/>
      <c r="G19" s="2825"/>
      <c r="H19" s="2825"/>
      <c r="I19" s="2825"/>
      <c r="J19" s="2826"/>
      <c r="K19" s="795">
        <f t="shared" si="1"/>
        <v>0</v>
      </c>
      <c r="L19" s="795">
        <f t="shared" si="2"/>
        <v>0</v>
      </c>
      <c r="M19" s="2827"/>
      <c r="N19" s="2827"/>
      <c r="O19" s="2827"/>
      <c r="P19" s="2828"/>
      <c r="Q19" s="1258" t="str">
        <f t="shared" si="3"/>
        <v/>
      </c>
      <c r="R19" s="1259" t="str">
        <f>IF(H19="","",IF(C19="Efficiency",Q19/($O$6*VLOOKUP(0,'DCA Underwriting Assumptions'!$J$132:$K$137,2,FALSE)),Q19/($O$6*VLOOKUP(C19,'DCA Underwriting Assumptions'!$J$132:$K$137,2,FALSE))))</f>
        <v/>
      </c>
      <c r="S19" s="2829"/>
      <c r="T19" s="2830"/>
      <c r="U19" s="2831"/>
      <c r="V19" s="2746"/>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0" t="str">
        <f t="shared" si="134"/>
        <v/>
      </c>
      <c r="EX19" s="517" t="str">
        <f t="shared" si="135"/>
        <v/>
      </c>
      <c r="EY19" s="517" t="str">
        <f t="shared" si="136"/>
        <v/>
      </c>
      <c r="EZ19" s="517" t="str">
        <f t="shared" si="137"/>
        <v/>
      </c>
      <c r="FA19" s="517" t="str">
        <f t="shared" si="138"/>
        <v/>
      </c>
      <c r="FB19" s="517" t="str">
        <f t="shared" si="139"/>
        <v/>
      </c>
      <c r="FC19" s="517" t="str">
        <f t="shared" si="140"/>
        <v/>
      </c>
      <c r="FD19" s="517" t="str">
        <f t="shared" si="141"/>
        <v/>
      </c>
      <c r="FE19" s="517" t="str">
        <f t="shared" si="142"/>
        <v/>
      </c>
      <c r="FF19" s="517" t="str">
        <f t="shared" si="143"/>
        <v/>
      </c>
      <c r="FG19" s="517" t="str">
        <f t="shared" si="144"/>
        <v/>
      </c>
      <c r="FH19" s="517" t="str">
        <f t="shared" si="145"/>
        <v/>
      </c>
      <c r="FI19" s="517" t="str">
        <f t="shared" si="146"/>
        <v/>
      </c>
      <c r="FJ19" s="517" t="str">
        <f t="shared" si="147"/>
        <v/>
      </c>
      <c r="FK19" s="517" t="str">
        <f t="shared" si="148"/>
        <v/>
      </c>
      <c r="FL19" s="517" t="str">
        <f t="shared" si="149"/>
        <v/>
      </c>
      <c r="FM19" s="517" t="str">
        <f t="shared" si="150"/>
        <v/>
      </c>
      <c r="FN19" s="517" t="str">
        <f t="shared" si="151"/>
        <v/>
      </c>
      <c r="FO19" s="517" t="str">
        <f t="shared" si="152"/>
        <v/>
      </c>
      <c r="FP19" s="517" t="str">
        <f t="shared" si="153"/>
        <v/>
      </c>
      <c r="FQ19" s="517" t="str">
        <f t="shared" si="154"/>
        <v/>
      </c>
      <c r="FR19" s="517" t="str">
        <f t="shared" si="155"/>
        <v/>
      </c>
      <c r="FS19" s="517" t="str">
        <f t="shared" si="156"/>
        <v/>
      </c>
      <c r="FT19" s="517" t="str">
        <f t="shared" si="157"/>
        <v/>
      </c>
      <c r="FU19" s="517" t="str">
        <f t="shared" si="158"/>
        <v/>
      </c>
      <c r="FV19" s="517" t="str">
        <f t="shared" si="159"/>
        <v/>
      </c>
      <c r="FW19" s="517" t="str">
        <f t="shared" si="160"/>
        <v/>
      </c>
      <c r="FX19" s="517" t="str">
        <f t="shared" si="161"/>
        <v/>
      </c>
      <c r="FY19" s="517" t="str">
        <f t="shared" si="162"/>
        <v/>
      </c>
      <c r="FZ19" s="517" t="str">
        <f t="shared" si="163"/>
        <v/>
      </c>
      <c r="GA19" s="517" t="str">
        <f t="shared" si="164"/>
        <v/>
      </c>
      <c r="GB19" s="517" t="str">
        <f t="shared" si="165"/>
        <v/>
      </c>
      <c r="GC19" s="517" t="str">
        <f t="shared" si="166"/>
        <v/>
      </c>
      <c r="GD19" s="517" t="str">
        <f t="shared" si="167"/>
        <v/>
      </c>
      <c r="GE19" s="517" t="str">
        <f t="shared" si="168"/>
        <v/>
      </c>
      <c r="GF19" s="517" t="str">
        <f t="shared" si="169"/>
        <v/>
      </c>
      <c r="GG19" s="517" t="str">
        <f t="shared" si="170"/>
        <v/>
      </c>
      <c r="GH19" s="517" t="str">
        <f t="shared" si="171"/>
        <v/>
      </c>
      <c r="GI19" s="517" t="str">
        <f t="shared" si="172"/>
        <v/>
      </c>
      <c r="GJ19" s="517" t="str">
        <f t="shared" si="173"/>
        <v/>
      </c>
      <c r="GK19" s="517" t="str">
        <f t="shared" si="174"/>
        <v/>
      </c>
      <c r="GL19" s="517" t="str">
        <f t="shared" si="175"/>
        <v/>
      </c>
      <c r="GM19" s="517" t="str">
        <f t="shared" si="176"/>
        <v/>
      </c>
      <c r="GN19" s="517" t="str">
        <f t="shared" si="177"/>
        <v/>
      </c>
      <c r="GO19" s="517" t="str">
        <f t="shared" si="178"/>
        <v/>
      </c>
      <c r="GP19" s="517" t="str">
        <f t="shared" si="179"/>
        <v/>
      </c>
      <c r="GQ19" s="517" t="str">
        <f t="shared" si="180"/>
        <v/>
      </c>
      <c r="GR19" s="517" t="str">
        <f t="shared" si="181"/>
        <v/>
      </c>
      <c r="GS19" s="517" t="str">
        <f t="shared" si="182"/>
        <v/>
      </c>
      <c r="GT19" s="517" t="str">
        <f t="shared" si="183"/>
        <v/>
      </c>
      <c r="GU19" s="517" t="str">
        <f t="shared" si="184"/>
        <v/>
      </c>
      <c r="GV19" s="517" t="str">
        <f t="shared" si="185"/>
        <v/>
      </c>
      <c r="GW19" s="517" t="str">
        <f t="shared" si="186"/>
        <v/>
      </c>
      <c r="GX19" s="517" t="str">
        <f t="shared" si="187"/>
        <v/>
      </c>
      <c r="GY19" s="517" t="str">
        <f t="shared" si="188"/>
        <v/>
      </c>
      <c r="GZ19" s="517" t="str">
        <f t="shared" si="189"/>
        <v/>
      </c>
      <c r="HA19" s="517" t="str">
        <f t="shared" si="190"/>
        <v/>
      </c>
      <c r="HB19" s="517" t="str">
        <f t="shared" si="191"/>
        <v/>
      </c>
      <c r="HC19" s="517" t="str">
        <f t="shared" si="192"/>
        <v/>
      </c>
      <c r="HD19" s="517" t="str">
        <f t="shared" si="193"/>
        <v/>
      </c>
      <c r="HE19" s="517" t="str">
        <f t="shared" si="194"/>
        <v/>
      </c>
      <c r="HF19" s="517" t="str">
        <f t="shared" si="195"/>
        <v/>
      </c>
      <c r="HG19" s="517" t="str">
        <f t="shared" si="196"/>
        <v/>
      </c>
      <c r="HH19" s="517" t="str">
        <f t="shared" si="197"/>
        <v/>
      </c>
      <c r="HI19" s="517" t="str">
        <f t="shared" si="198"/>
        <v/>
      </c>
      <c r="HJ19" s="517" t="str">
        <f t="shared" si="199"/>
        <v/>
      </c>
      <c r="HK19" s="517" t="str">
        <f t="shared" si="200"/>
        <v/>
      </c>
      <c r="HL19" s="517" t="str">
        <f t="shared" si="201"/>
        <v/>
      </c>
      <c r="HM19" s="517" t="str">
        <f t="shared" si="202"/>
        <v/>
      </c>
      <c r="HN19" s="517" t="str">
        <f t="shared" si="203"/>
        <v/>
      </c>
      <c r="HO19" s="517" t="str">
        <f t="shared" si="204"/>
        <v/>
      </c>
      <c r="HP19" s="517" t="str">
        <f t="shared" si="205"/>
        <v/>
      </c>
      <c r="HQ19" s="517" t="str">
        <f t="shared" si="206"/>
        <v/>
      </c>
      <c r="HR19" s="517" t="str">
        <f t="shared" si="207"/>
        <v/>
      </c>
      <c r="HS19" s="517" t="str">
        <f t="shared" si="208"/>
        <v/>
      </c>
      <c r="HT19" s="517" t="str">
        <f t="shared" si="209"/>
        <v/>
      </c>
      <c r="HU19" s="517" t="str">
        <f t="shared" si="210"/>
        <v/>
      </c>
      <c r="HV19" s="517" t="str">
        <f t="shared" si="211"/>
        <v/>
      </c>
      <c r="HW19" s="517" t="str">
        <f t="shared" si="212"/>
        <v/>
      </c>
      <c r="HX19" s="517" t="str">
        <f t="shared" si="213"/>
        <v/>
      </c>
      <c r="HY19" s="517" t="str">
        <f t="shared" si="214"/>
        <v/>
      </c>
      <c r="HZ19" s="517" t="str">
        <f t="shared" si="215"/>
        <v/>
      </c>
      <c r="IA19" s="517" t="str">
        <f t="shared" si="216"/>
        <v/>
      </c>
      <c r="IB19" s="517" t="str">
        <f t="shared" si="217"/>
        <v/>
      </c>
      <c r="IC19" s="517" t="str">
        <f t="shared" si="218"/>
        <v/>
      </c>
      <c r="ID19" s="518" t="str">
        <f t="shared" si="219"/>
        <v/>
      </c>
      <c r="IE19" s="518" t="str">
        <f t="shared" si="220"/>
        <v/>
      </c>
      <c r="IF19" s="518" t="str">
        <f t="shared" si="221"/>
        <v/>
      </c>
      <c r="IG19" s="518" t="str">
        <f t="shared" si="222"/>
        <v/>
      </c>
      <c r="IH19" s="518" t="str">
        <f t="shared" si="223"/>
        <v/>
      </c>
      <c r="II19" s="507" t="str">
        <f t="shared" si="224"/>
        <v/>
      </c>
      <c r="IJ19" s="507" t="str">
        <f t="shared" si="225"/>
        <v/>
      </c>
      <c r="IK19" s="507" t="str">
        <f t="shared" si="226"/>
        <v/>
      </c>
      <c r="IL19" s="507" t="str">
        <f t="shared" si="227"/>
        <v/>
      </c>
      <c r="IM19" s="507" t="str">
        <f t="shared" si="228"/>
        <v/>
      </c>
      <c r="IN19" s="507" t="str">
        <f t="shared" si="229"/>
        <v/>
      </c>
      <c r="IO19" s="507" t="str">
        <f t="shared" si="230"/>
        <v/>
      </c>
      <c r="IP19" s="507" t="str">
        <f t="shared" si="231"/>
        <v/>
      </c>
      <c r="IQ19" s="507" t="str">
        <f t="shared" si="232"/>
        <v/>
      </c>
      <c r="IR19" s="507" t="str">
        <f t="shared" si="233"/>
        <v/>
      </c>
      <c r="IS19" s="507" t="str">
        <f t="shared" si="234"/>
        <v/>
      </c>
      <c r="IT19" s="507" t="str">
        <f t="shared" si="235"/>
        <v/>
      </c>
      <c r="IU19" s="507" t="str">
        <f t="shared" si="236"/>
        <v/>
      </c>
      <c r="IV19" s="507" t="str">
        <f t="shared" si="237"/>
        <v/>
      </c>
      <c r="IW19" s="507" t="str">
        <f t="shared" si="238"/>
        <v/>
      </c>
      <c r="IX19" s="507" t="str">
        <f t="shared" si="239"/>
        <v/>
      </c>
      <c r="IY19" s="507" t="str">
        <f t="shared" si="240"/>
        <v/>
      </c>
      <c r="IZ19" s="507" t="str">
        <f t="shared" si="241"/>
        <v/>
      </c>
      <c r="JA19" s="507" t="str">
        <f t="shared" si="242"/>
        <v/>
      </c>
      <c r="JB19" s="507" t="str">
        <f t="shared" si="243"/>
        <v/>
      </c>
      <c r="JC19" s="516">
        <f t="shared" si="244"/>
        <v>0</v>
      </c>
      <c r="JD19" s="516">
        <f t="shared" si="245"/>
        <v>0</v>
      </c>
      <c r="JE19" s="516">
        <f t="shared" si="246"/>
        <v>0</v>
      </c>
      <c r="JF19" s="516">
        <f t="shared" si="247"/>
        <v>0</v>
      </c>
      <c r="JG19" s="516">
        <f t="shared" si="248"/>
        <v>0</v>
      </c>
      <c r="JH19" s="516">
        <f t="shared" si="249"/>
        <v>0</v>
      </c>
      <c r="JI19" s="516">
        <f t="shared" si="250"/>
        <v>0</v>
      </c>
      <c r="JJ19" s="516">
        <f t="shared" si="251"/>
        <v>0</v>
      </c>
      <c r="JK19" s="516">
        <f t="shared" si="252"/>
        <v>0</v>
      </c>
      <c r="JL19" s="516">
        <f t="shared" si="253"/>
        <v>0</v>
      </c>
      <c r="JM19" s="516">
        <f t="shared" si="254"/>
        <v>0</v>
      </c>
      <c r="JN19" s="516">
        <f t="shared" si="255"/>
        <v>0</v>
      </c>
      <c r="JO19" s="516">
        <f t="shared" si="256"/>
        <v>0</v>
      </c>
      <c r="JP19" s="516">
        <f t="shared" si="257"/>
        <v>0</v>
      </c>
      <c r="JQ19" s="516">
        <f t="shared" si="258"/>
        <v>0</v>
      </c>
    </row>
    <row r="20" spans="1:277" ht="12" customHeight="1">
      <c r="A20" s="115" t="str">
        <f t="shared" si="0"/>
        <v/>
      </c>
      <c r="B20" s="2822" t="s">
        <v>1837</v>
      </c>
      <c r="C20" s="2823"/>
      <c r="D20" s="2824"/>
      <c r="E20" s="2825"/>
      <c r="F20" s="2825"/>
      <c r="G20" s="2825"/>
      <c r="H20" s="2825"/>
      <c r="I20" s="2825"/>
      <c r="J20" s="2826"/>
      <c r="K20" s="795">
        <f t="shared" si="1"/>
        <v>0</v>
      </c>
      <c r="L20" s="795">
        <f t="shared" si="2"/>
        <v>0</v>
      </c>
      <c r="M20" s="2827"/>
      <c r="N20" s="2827"/>
      <c r="O20" s="2827"/>
      <c r="P20" s="2828"/>
      <c r="Q20" s="1258" t="str">
        <f t="shared" si="3"/>
        <v/>
      </c>
      <c r="R20" s="1259" t="str">
        <f>IF(H20="","",IF(C20="Efficiency",Q20/($O$6*VLOOKUP(0,'DCA Underwriting Assumptions'!$J$132:$K$137,2,FALSE)),Q20/($O$6*VLOOKUP(C20,'DCA Underwriting Assumptions'!$J$132:$K$137,2,FALSE))))</f>
        <v/>
      </c>
      <c r="S20" s="2829"/>
      <c r="T20" s="2830"/>
      <c r="U20" s="2831"/>
      <c r="V20" s="2746"/>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0" t="str">
        <f t="shared" si="134"/>
        <v/>
      </c>
      <c r="EX20" s="517" t="str">
        <f t="shared" si="135"/>
        <v/>
      </c>
      <c r="EY20" s="517" t="str">
        <f t="shared" si="136"/>
        <v/>
      </c>
      <c r="EZ20" s="517" t="str">
        <f t="shared" si="137"/>
        <v/>
      </c>
      <c r="FA20" s="517" t="str">
        <f t="shared" si="138"/>
        <v/>
      </c>
      <c r="FB20" s="517" t="str">
        <f t="shared" si="139"/>
        <v/>
      </c>
      <c r="FC20" s="517" t="str">
        <f t="shared" si="140"/>
        <v/>
      </c>
      <c r="FD20" s="517" t="str">
        <f t="shared" si="141"/>
        <v/>
      </c>
      <c r="FE20" s="517" t="str">
        <f t="shared" si="142"/>
        <v/>
      </c>
      <c r="FF20" s="517" t="str">
        <f t="shared" si="143"/>
        <v/>
      </c>
      <c r="FG20" s="517" t="str">
        <f t="shared" si="144"/>
        <v/>
      </c>
      <c r="FH20" s="517" t="str">
        <f t="shared" si="145"/>
        <v/>
      </c>
      <c r="FI20" s="517" t="str">
        <f t="shared" si="146"/>
        <v/>
      </c>
      <c r="FJ20" s="517" t="str">
        <f t="shared" si="147"/>
        <v/>
      </c>
      <c r="FK20" s="517" t="str">
        <f t="shared" si="148"/>
        <v/>
      </c>
      <c r="FL20" s="517" t="str">
        <f t="shared" si="149"/>
        <v/>
      </c>
      <c r="FM20" s="517" t="str">
        <f t="shared" si="150"/>
        <v/>
      </c>
      <c r="FN20" s="517" t="str">
        <f t="shared" si="151"/>
        <v/>
      </c>
      <c r="FO20" s="517" t="str">
        <f t="shared" si="152"/>
        <v/>
      </c>
      <c r="FP20" s="517" t="str">
        <f t="shared" si="153"/>
        <v/>
      </c>
      <c r="FQ20" s="517" t="str">
        <f t="shared" si="154"/>
        <v/>
      </c>
      <c r="FR20" s="517" t="str">
        <f t="shared" si="155"/>
        <v/>
      </c>
      <c r="FS20" s="517" t="str">
        <f t="shared" si="156"/>
        <v/>
      </c>
      <c r="FT20" s="517" t="str">
        <f t="shared" si="157"/>
        <v/>
      </c>
      <c r="FU20" s="517" t="str">
        <f t="shared" si="158"/>
        <v/>
      </c>
      <c r="FV20" s="517" t="str">
        <f t="shared" si="159"/>
        <v/>
      </c>
      <c r="FW20" s="517" t="str">
        <f t="shared" si="160"/>
        <v/>
      </c>
      <c r="FX20" s="517" t="str">
        <f t="shared" si="161"/>
        <v/>
      </c>
      <c r="FY20" s="517" t="str">
        <f t="shared" si="162"/>
        <v/>
      </c>
      <c r="FZ20" s="517" t="str">
        <f t="shared" si="163"/>
        <v/>
      </c>
      <c r="GA20" s="517" t="str">
        <f t="shared" si="164"/>
        <v/>
      </c>
      <c r="GB20" s="517" t="str">
        <f t="shared" si="165"/>
        <v/>
      </c>
      <c r="GC20" s="517" t="str">
        <f t="shared" si="166"/>
        <v/>
      </c>
      <c r="GD20" s="517" t="str">
        <f t="shared" si="167"/>
        <v/>
      </c>
      <c r="GE20" s="517" t="str">
        <f t="shared" si="168"/>
        <v/>
      </c>
      <c r="GF20" s="517" t="str">
        <f t="shared" si="169"/>
        <v/>
      </c>
      <c r="GG20" s="517" t="str">
        <f t="shared" si="170"/>
        <v/>
      </c>
      <c r="GH20" s="517" t="str">
        <f t="shared" si="171"/>
        <v/>
      </c>
      <c r="GI20" s="517" t="str">
        <f t="shared" si="172"/>
        <v/>
      </c>
      <c r="GJ20" s="517" t="str">
        <f t="shared" si="173"/>
        <v/>
      </c>
      <c r="GK20" s="517" t="str">
        <f t="shared" si="174"/>
        <v/>
      </c>
      <c r="GL20" s="517" t="str">
        <f t="shared" si="175"/>
        <v/>
      </c>
      <c r="GM20" s="517" t="str">
        <f t="shared" si="176"/>
        <v/>
      </c>
      <c r="GN20" s="517" t="str">
        <f t="shared" si="177"/>
        <v/>
      </c>
      <c r="GO20" s="517" t="str">
        <f t="shared" si="178"/>
        <v/>
      </c>
      <c r="GP20" s="517" t="str">
        <f t="shared" si="179"/>
        <v/>
      </c>
      <c r="GQ20" s="517" t="str">
        <f t="shared" si="180"/>
        <v/>
      </c>
      <c r="GR20" s="517" t="str">
        <f t="shared" si="181"/>
        <v/>
      </c>
      <c r="GS20" s="517" t="str">
        <f t="shared" si="182"/>
        <v/>
      </c>
      <c r="GT20" s="517" t="str">
        <f t="shared" si="183"/>
        <v/>
      </c>
      <c r="GU20" s="517" t="str">
        <f t="shared" si="184"/>
        <v/>
      </c>
      <c r="GV20" s="517" t="str">
        <f t="shared" si="185"/>
        <v/>
      </c>
      <c r="GW20" s="517" t="str">
        <f t="shared" si="186"/>
        <v/>
      </c>
      <c r="GX20" s="517" t="str">
        <f t="shared" si="187"/>
        <v/>
      </c>
      <c r="GY20" s="517" t="str">
        <f t="shared" si="188"/>
        <v/>
      </c>
      <c r="GZ20" s="517" t="str">
        <f t="shared" si="189"/>
        <v/>
      </c>
      <c r="HA20" s="517" t="str">
        <f t="shared" si="190"/>
        <v/>
      </c>
      <c r="HB20" s="517" t="str">
        <f t="shared" si="191"/>
        <v/>
      </c>
      <c r="HC20" s="517" t="str">
        <f t="shared" si="192"/>
        <v/>
      </c>
      <c r="HD20" s="517" t="str">
        <f t="shared" si="193"/>
        <v/>
      </c>
      <c r="HE20" s="517" t="str">
        <f t="shared" si="194"/>
        <v/>
      </c>
      <c r="HF20" s="517" t="str">
        <f t="shared" si="195"/>
        <v/>
      </c>
      <c r="HG20" s="517" t="str">
        <f t="shared" si="196"/>
        <v/>
      </c>
      <c r="HH20" s="517" t="str">
        <f t="shared" si="197"/>
        <v/>
      </c>
      <c r="HI20" s="517" t="str">
        <f t="shared" si="198"/>
        <v/>
      </c>
      <c r="HJ20" s="517" t="str">
        <f t="shared" si="199"/>
        <v/>
      </c>
      <c r="HK20" s="517" t="str">
        <f t="shared" si="200"/>
        <v/>
      </c>
      <c r="HL20" s="517" t="str">
        <f t="shared" si="201"/>
        <v/>
      </c>
      <c r="HM20" s="517" t="str">
        <f t="shared" si="202"/>
        <v/>
      </c>
      <c r="HN20" s="517" t="str">
        <f t="shared" si="203"/>
        <v/>
      </c>
      <c r="HO20" s="517" t="str">
        <f t="shared" si="204"/>
        <v/>
      </c>
      <c r="HP20" s="517" t="str">
        <f t="shared" si="205"/>
        <v/>
      </c>
      <c r="HQ20" s="517" t="str">
        <f t="shared" si="206"/>
        <v/>
      </c>
      <c r="HR20" s="517" t="str">
        <f t="shared" si="207"/>
        <v/>
      </c>
      <c r="HS20" s="517" t="str">
        <f t="shared" si="208"/>
        <v/>
      </c>
      <c r="HT20" s="517" t="str">
        <f t="shared" si="209"/>
        <v/>
      </c>
      <c r="HU20" s="517" t="str">
        <f t="shared" si="210"/>
        <v/>
      </c>
      <c r="HV20" s="517" t="str">
        <f t="shared" si="211"/>
        <v/>
      </c>
      <c r="HW20" s="517" t="str">
        <f t="shared" si="212"/>
        <v/>
      </c>
      <c r="HX20" s="517" t="str">
        <f t="shared" si="213"/>
        <v/>
      </c>
      <c r="HY20" s="517" t="str">
        <f t="shared" si="214"/>
        <v/>
      </c>
      <c r="HZ20" s="517" t="str">
        <f t="shared" si="215"/>
        <v/>
      </c>
      <c r="IA20" s="517" t="str">
        <f t="shared" si="216"/>
        <v/>
      </c>
      <c r="IB20" s="517" t="str">
        <f t="shared" si="217"/>
        <v/>
      </c>
      <c r="IC20" s="517" t="str">
        <f t="shared" si="218"/>
        <v/>
      </c>
      <c r="ID20" s="518" t="str">
        <f t="shared" si="219"/>
        <v/>
      </c>
      <c r="IE20" s="518" t="str">
        <f t="shared" si="220"/>
        <v/>
      </c>
      <c r="IF20" s="518" t="str">
        <f t="shared" si="221"/>
        <v/>
      </c>
      <c r="IG20" s="518" t="str">
        <f t="shared" si="222"/>
        <v/>
      </c>
      <c r="IH20" s="518" t="str">
        <f t="shared" si="223"/>
        <v/>
      </c>
      <c r="II20" s="507" t="str">
        <f t="shared" si="224"/>
        <v/>
      </c>
      <c r="IJ20" s="507" t="str">
        <f t="shared" si="225"/>
        <v/>
      </c>
      <c r="IK20" s="507" t="str">
        <f t="shared" si="226"/>
        <v/>
      </c>
      <c r="IL20" s="507" t="str">
        <f t="shared" si="227"/>
        <v/>
      </c>
      <c r="IM20" s="507" t="str">
        <f t="shared" si="228"/>
        <v/>
      </c>
      <c r="IN20" s="507" t="str">
        <f t="shared" si="229"/>
        <v/>
      </c>
      <c r="IO20" s="507" t="str">
        <f t="shared" si="230"/>
        <v/>
      </c>
      <c r="IP20" s="507" t="str">
        <f t="shared" si="231"/>
        <v/>
      </c>
      <c r="IQ20" s="507" t="str">
        <f t="shared" si="232"/>
        <v/>
      </c>
      <c r="IR20" s="507" t="str">
        <f t="shared" si="233"/>
        <v/>
      </c>
      <c r="IS20" s="507" t="str">
        <f t="shared" si="234"/>
        <v/>
      </c>
      <c r="IT20" s="507" t="str">
        <f t="shared" si="235"/>
        <v/>
      </c>
      <c r="IU20" s="507" t="str">
        <f t="shared" si="236"/>
        <v/>
      </c>
      <c r="IV20" s="507" t="str">
        <f t="shared" si="237"/>
        <v/>
      </c>
      <c r="IW20" s="507" t="str">
        <f t="shared" si="238"/>
        <v/>
      </c>
      <c r="IX20" s="507" t="str">
        <f t="shared" si="239"/>
        <v/>
      </c>
      <c r="IY20" s="507" t="str">
        <f t="shared" si="240"/>
        <v/>
      </c>
      <c r="IZ20" s="507" t="str">
        <f t="shared" si="241"/>
        <v/>
      </c>
      <c r="JA20" s="507" t="str">
        <f t="shared" si="242"/>
        <v/>
      </c>
      <c r="JB20" s="507" t="str">
        <f t="shared" si="243"/>
        <v/>
      </c>
      <c r="JC20" s="516">
        <f t="shared" si="244"/>
        <v>0</v>
      </c>
      <c r="JD20" s="516">
        <f t="shared" si="245"/>
        <v>0</v>
      </c>
      <c r="JE20" s="516">
        <f t="shared" si="246"/>
        <v>0</v>
      </c>
      <c r="JF20" s="516">
        <f t="shared" si="247"/>
        <v>0</v>
      </c>
      <c r="JG20" s="516">
        <f t="shared" si="248"/>
        <v>0</v>
      </c>
      <c r="JH20" s="516">
        <f t="shared" si="249"/>
        <v>0</v>
      </c>
      <c r="JI20" s="516">
        <f t="shared" si="250"/>
        <v>0</v>
      </c>
      <c r="JJ20" s="516">
        <f t="shared" si="251"/>
        <v>0</v>
      </c>
      <c r="JK20" s="516">
        <f t="shared" si="252"/>
        <v>0</v>
      </c>
      <c r="JL20" s="516">
        <f t="shared" si="253"/>
        <v>0</v>
      </c>
      <c r="JM20" s="516">
        <f t="shared" si="254"/>
        <v>0</v>
      </c>
      <c r="JN20" s="516">
        <f t="shared" si="255"/>
        <v>0</v>
      </c>
      <c r="JO20" s="516">
        <f t="shared" si="256"/>
        <v>0</v>
      </c>
      <c r="JP20" s="516">
        <f t="shared" si="257"/>
        <v>0</v>
      </c>
      <c r="JQ20" s="516">
        <f t="shared" si="258"/>
        <v>0</v>
      </c>
    </row>
    <row r="21" spans="1:277" ht="12" customHeight="1">
      <c r="A21" s="115" t="str">
        <f t="shared" si="0"/>
        <v/>
      </c>
      <c r="B21" s="2822" t="s">
        <v>1837</v>
      </c>
      <c r="C21" s="2823"/>
      <c r="D21" s="2824"/>
      <c r="E21" s="2825"/>
      <c r="F21" s="2825"/>
      <c r="G21" s="2825"/>
      <c r="H21" s="2825"/>
      <c r="I21" s="2825"/>
      <c r="J21" s="2826"/>
      <c r="K21" s="795">
        <f t="shared" si="1"/>
        <v>0</v>
      </c>
      <c r="L21" s="795">
        <f t="shared" si="2"/>
        <v>0</v>
      </c>
      <c r="M21" s="2827"/>
      <c r="N21" s="2827"/>
      <c r="O21" s="2827"/>
      <c r="P21" s="2828"/>
      <c r="Q21" s="1258" t="str">
        <f t="shared" si="3"/>
        <v/>
      </c>
      <c r="R21" s="1259" t="str">
        <f>IF(H21="","",IF(C21="Efficiency",Q21/($O$6*VLOOKUP(0,'DCA Underwriting Assumptions'!$J$132:$K$137,2,FALSE)),Q21/($O$6*VLOOKUP(C21,'DCA Underwriting Assumptions'!$J$132:$K$137,2,FALSE))))</f>
        <v/>
      </c>
      <c r="S21" s="2829"/>
      <c r="T21" s="2830"/>
      <c r="U21" s="2831"/>
      <c r="V21" s="2746"/>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0" t="str">
        <f t="shared" si="134"/>
        <v/>
      </c>
      <c r="EX21" s="517" t="str">
        <f t="shared" si="135"/>
        <v/>
      </c>
      <c r="EY21" s="517" t="str">
        <f t="shared" si="136"/>
        <v/>
      </c>
      <c r="EZ21" s="517" t="str">
        <f t="shared" si="137"/>
        <v/>
      </c>
      <c r="FA21" s="517" t="str">
        <f t="shared" si="138"/>
        <v/>
      </c>
      <c r="FB21" s="517" t="str">
        <f t="shared" si="139"/>
        <v/>
      </c>
      <c r="FC21" s="517" t="str">
        <f t="shared" si="140"/>
        <v/>
      </c>
      <c r="FD21" s="517" t="str">
        <f t="shared" si="141"/>
        <v/>
      </c>
      <c r="FE21" s="517" t="str">
        <f t="shared" si="142"/>
        <v/>
      </c>
      <c r="FF21" s="517" t="str">
        <f t="shared" si="143"/>
        <v/>
      </c>
      <c r="FG21" s="517" t="str">
        <f t="shared" si="144"/>
        <v/>
      </c>
      <c r="FH21" s="517" t="str">
        <f t="shared" si="145"/>
        <v/>
      </c>
      <c r="FI21" s="517" t="str">
        <f t="shared" si="146"/>
        <v/>
      </c>
      <c r="FJ21" s="517" t="str">
        <f t="shared" si="147"/>
        <v/>
      </c>
      <c r="FK21" s="517" t="str">
        <f t="shared" si="148"/>
        <v/>
      </c>
      <c r="FL21" s="517" t="str">
        <f t="shared" si="149"/>
        <v/>
      </c>
      <c r="FM21" s="517" t="str">
        <f t="shared" si="150"/>
        <v/>
      </c>
      <c r="FN21" s="517" t="str">
        <f t="shared" si="151"/>
        <v/>
      </c>
      <c r="FO21" s="517" t="str">
        <f t="shared" si="152"/>
        <v/>
      </c>
      <c r="FP21" s="517" t="str">
        <f t="shared" si="153"/>
        <v/>
      </c>
      <c r="FQ21" s="517" t="str">
        <f t="shared" si="154"/>
        <v/>
      </c>
      <c r="FR21" s="517" t="str">
        <f t="shared" si="155"/>
        <v/>
      </c>
      <c r="FS21" s="517" t="str">
        <f t="shared" si="156"/>
        <v/>
      </c>
      <c r="FT21" s="517" t="str">
        <f t="shared" si="157"/>
        <v/>
      </c>
      <c r="FU21" s="517" t="str">
        <f t="shared" si="158"/>
        <v/>
      </c>
      <c r="FV21" s="517" t="str">
        <f t="shared" si="159"/>
        <v/>
      </c>
      <c r="FW21" s="517" t="str">
        <f t="shared" si="160"/>
        <v/>
      </c>
      <c r="FX21" s="517" t="str">
        <f t="shared" si="161"/>
        <v/>
      </c>
      <c r="FY21" s="517" t="str">
        <f t="shared" si="162"/>
        <v/>
      </c>
      <c r="FZ21" s="517" t="str">
        <f t="shared" si="163"/>
        <v/>
      </c>
      <c r="GA21" s="517" t="str">
        <f t="shared" si="164"/>
        <v/>
      </c>
      <c r="GB21" s="517" t="str">
        <f t="shared" si="165"/>
        <v/>
      </c>
      <c r="GC21" s="517" t="str">
        <f t="shared" si="166"/>
        <v/>
      </c>
      <c r="GD21" s="517" t="str">
        <f t="shared" si="167"/>
        <v/>
      </c>
      <c r="GE21" s="517" t="str">
        <f t="shared" si="168"/>
        <v/>
      </c>
      <c r="GF21" s="517" t="str">
        <f t="shared" si="169"/>
        <v/>
      </c>
      <c r="GG21" s="517" t="str">
        <f t="shared" si="170"/>
        <v/>
      </c>
      <c r="GH21" s="517" t="str">
        <f t="shared" si="171"/>
        <v/>
      </c>
      <c r="GI21" s="517" t="str">
        <f t="shared" si="172"/>
        <v/>
      </c>
      <c r="GJ21" s="517" t="str">
        <f t="shared" si="173"/>
        <v/>
      </c>
      <c r="GK21" s="517" t="str">
        <f t="shared" si="174"/>
        <v/>
      </c>
      <c r="GL21" s="517" t="str">
        <f t="shared" si="175"/>
        <v/>
      </c>
      <c r="GM21" s="517" t="str">
        <f t="shared" si="176"/>
        <v/>
      </c>
      <c r="GN21" s="517" t="str">
        <f t="shared" si="177"/>
        <v/>
      </c>
      <c r="GO21" s="517" t="str">
        <f t="shared" si="178"/>
        <v/>
      </c>
      <c r="GP21" s="517" t="str">
        <f t="shared" si="179"/>
        <v/>
      </c>
      <c r="GQ21" s="517" t="str">
        <f t="shared" si="180"/>
        <v/>
      </c>
      <c r="GR21" s="517" t="str">
        <f t="shared" si="181"/>
        <v/>
      </c>
      <c r="GS21" s="517" t="str">
        <f t="shared" si="182"/>
        <v/>
      </c>
      <c r="GT21" s="517" t="str">
        <f t="shared" si="183"/>
        <v/>
      </c>
      <c r="GU21" s="517" t="str">
        <f t="shared" si="184"/>
        <v/>
      </c>
      <c r="GV21" s="517" t="str">
        <f t="shared" si="185"/>
        <v/>
      </c>
      <c r="GW21" s="517" t="str">
        <f t="shared" si="186"/>
        <v/>
      </c>
      <c r="GX21" s="517" t="str">
        <f t="shared" si="187"/>
        <v/>
      </c>
      <c r="GY21" s="517" t="str">
        <f t="shared" si="188"/>
        <v/>
      </c>
      <c r="GZ21" s="517" t="str">
        <f t="shared" si="189"/>
        <v/>
      </c>
      <c r="HA21" s="517" t="str">
        <f t="shared" si="190"/>
        <v/>
      </c>
      <c r="HB21" s="517" t="str">
        <f t="shared" si="191"/>
        <v/>
      </c>
      <c r="HC21" s="517" t="str">
        <f t="shared" si="192"/>
        <v/>
      </c>
      <c r="HD21" s="517" t="str">
        <f t="shared" si="193"/>
        <v/>
      </c>
      <c r="HE21" s="517" t="str">
        <f t="shared" si="194"/>
        <v/>
      </c>
      <c r="HF21" s="517" t="str">
        <f t="shared" si="195"/>
        <v/>
      </c>
      <c r="HG21" s="517" t="str">
        <f t="shared" si="196"/>
        <v/>
      </c>
      <c r="HH21" s="517" t="str">
        <f t="shared" si="197"/>
        <v/>
      </c>
      <c r="HI21" s="517" t="str">
        <f t="shared" si="198"/>
        <v/>
      </c>
      <c r="HJ21" s="517" t="str">
        <f t="shared" si="199"/>
        <v/>
      </c>
      <c r="HK21" s="517" t="str">
        <f t="shared" si="200"/>
        <v/>
      </c>
      <c r="HL21" s="517" t="str">
        <f t="shared" si="201"/>
        <v/>
      </c>
      <c r="HM21" s="517" t="str">
        <f t="shared" si="202"/>
        <v/>
      </c>
      <c r="HN21" s="517" t="str">
        <f t="shared" si="203"/>
        <v/>
      </c>
      <c r="HO21" s="517" t="str">
        <f t="shared" si="204"/>
        <v/>
      </c>
      <c r="HP21" s="517" t="str">
        <f t="shared" si="205"/>
        <v/>
      </c>
      <c r="HQ21" s="517" t="str">
        <f t="shared" si="206"/>
        <v/>
      </c>
      <c r="HR21" s="517" t="str">
        <f t="shared" si="207"/>
        <v/>
      </c>
      <c r="HS21" s="517" t="str">
        <f t="shared" si="208"/>
        <v/>
      </c>
      <c r="HT21" s="517" t="str">
        <f t="shared" si="209"/>
        <v/>
      </c>
      <c r="HU21" s="517" t="str">
        <f t="shared" si="210"/>
        <v/>
      </c>
      <c r="HV21" s="517" t="str">
        <f t="shared" si="211"/>
        <v/>
      </c>
      <c r="HW21" s="517" t="str">
        <f t="shared" si="212"/>
        <v/>
      </c>
      <c r="HX21" s="517" t="str">
        <f t="shared" si="213"/>
        <v/>
      </c>
      <c r="HY21" s="517" t="str">
        <f t="shared" si="214"/>
        <v/>
      </c>
      <c r="HZ21" s="517" t="str">
        <f t="shared" si="215"/>
        <v/>
      </c>
      <c r="IA21" s="517" t="str">
        <f t="shared" si="216"/>
        <v/>
      </c>
      <c r="IB21" s="517" t="str">
        <f t="shared" si="217"/>
        <v/>
      </c>
      <c r="IC21" s="517" t="str">
        <f t="shared" si="218"/>
        <v/>
      </c>
      <c r="ID21" s="518" t="str">
        <f t="shared" si="219"/>
        <v/>
      </c>
      <c r="IE21" s="518" t="str">
        <f t="shared" si="220"/>
        <v/>
      </c>
      <c r="IF21" s="518" t="str">
        <f t="shared" si="221"/>
        <v/>
      </c>
      <c r="IG21" s="518" t="str">
        <f t="shared" si="222"/>
        <v/>
      </c>
      <c r="IH21" s="518" t="str">
        <f t="shared" si="223"/>
        <v/>
      </c>
      <c r="II21" s="507" t="str">
        <f t="shared" si="224"/>
        <v/>
      </c>
      <c r="IJ21" s="507" t="str">
        <f t="shared" si="225"/>
        <v/>
      </c>
      <c r="IK21" s="507" t="str">
        <f t="shared" si="226"/>
        <v/>
      </c>
      <c r="IL21" s="507" t="str">
        <f t="shared" si="227"/>
        <v/>
      </c>
      <c r="IM21" s="507" t="str">
        <f t="shared" si="228"/>
        <v/>
      </c>
      <c r="IN21" s="507" t="str">
        <f t="shared" si="229"/>
        <v/>
      </c>
      <c r="IO21" s="507" t="str">
        <f t="shared" si="230"/>
        <v/>
      </c>
      <c r="IP21" s="507" t="str">
        <f t="shared" si="231"/>
        <v/>
      </c>
      <c r="IQ21" s="507" t="str">
        <f t="shared" si="232"/>
        <v/>
      </c>
      <c r="IR21" s="507" t="str">
        <f t="shared" si="233"/>
        <v/>
      </c>
      <c r="IS21" s="507" t="str">
        <f t="shared" si="234"/>
        <v/>
      </c>
      <c r="IT21" s="507" t="str">
        <f t="shared" si="235"/>
        <v/>
      </c>
      <c r="IU21" s="507" t="str">
        <f t="shared" si="236"/>
        <v/>
      </c>
      <c r="IV21" s="507" t="str">
        <f t="shared" si="237"/>
        <v/>
      </c>
      <c r="IW21" s="507" t="str">
        <f t="shared" si="238"/>
        <v/>
      </c>
      <c r="IX21" s="507" t="str">
        <f t="shared" si="239"/>
        <v/>
      </c>
      <c r="IY21" s="507" t="str">
        <f t="shared" si="240"/>
        <v/>
      </c>
      <c r="IZ21" s="507" t="str">
        <f t="shared" si="241"/>
        <v/>
      </c>
      <c r="JA21" s="507" t="str">
        <f t="shared" si="242"/>
        <v/>
      </c>
      <c r="JB21" s="507" t="str">
        <f t="shared" si="243"/>
        <v/>
      </c>
      <c r="JC21" s="516">
        <f t="shared" si="244"/>
        <v>0</v>
      </c>
      <c r="JD21" s="516">
        <f t="shared" si="245"/>
        <v>0</v>
      </c>
      <c r="JE21" s="516">
        <f t="shared" si="246"/>
        <v>0</v>
      </c>
      <c r="JF21" s="516">
        <f t="shared" si="247"/>
        <v>0</v>
      </c>
      <c r="JG21" s="516">
        <f t="shared" si="248"/>
        <v>0</v>
      </c>
      <c r="JH21" s="516">
        <f t="shared" si="249"/>
        <v>0</v>
      </c>
      <c r="JI21" s="516">
        <f t="shared" si="250"/>
        <v>0</v>
      </c>
      <c r="JJ21" s="516">
        <f t="shared" si="251"/>
        <v>0</v>
      </c>
      <c r="JK21" s="516">
        <f t="shared" si="252"/>
        <v>0</v>
      </c>
      <c r="JL21" s="516">
        <f t="shared" si="253"/>
        <v>0</v>
      </c>
      <c r="JM21" s="516">
        <f t="shared" si="254"/>
        <v>0</v>
      </c>
      <c r="JN21" s="516">
        <f t="shared" si="255"/>
        <v>0</v>
      </c>
      <c r="JO21" s="516">
        <f t="shared" si="256"/>
        <v>0</v>
      </c>
      <c r="JP21" s="516">
        <f t="shared" si="257"/>
        <v>0</v>
      </c>
      <c r="JQ21" s="516">
        <f t="shared" si="258"/>
        <v>0</v>
      </c>
    </row>
    <row r="22" spans="1:277" ht="12" customHeight="1">
      <c r="A22" s="115" t="str">
        <f t="shared" si="0"/>
        <v/>
      </c>
      <c r="B22" s="2822" t="s">
        <v>1837</v>
      </c>
      <c r="C22" s="2823"/>
      <c r="D22" s="2824"/>
      <c r="E22" s="2825"/>
      <c r="F22" s="2825"/>
      <c r="G22" s="2825"/>
      <c r="H22" s="2825"/>
      <c r="I22" s="2825"/>
      <c r="J22" s="2826"/>
      <c r="K22" s="795">
        <f t="shared" si="1"/>
        <v>0</v>
      </c>
      <c r="L22" s="795">
        <f t="shared" si="2"/>
        <v>0</v>
      </c>
      <c r="M22" s="2827"/>
      <c r="N22" s="2827"/>
      <c r="O22" s="2827"/>
      <c r="P22" s="2828"/>
      <c r="Q22" s="1258" t="str">
        <f t="shared" si="3"/>
        <v/>
      </c>
      <c r="R22" s="1259" t="str">
        <f>IF(H22="","",IF(C22="Efficiency",Q22/($O$6*VLOOKUP(0,'DCA Underwriting Assumptions'!$J$132:$K$137,2,FALSE)),Q22/($O$6*VLOOKUP(C22,'DCA Underwriting Assumptions'!$J$132:$K$137,2,FALSE))))</f>
        <v/>
      </c>
      <c r="S22" s="2829"/>
      <c r="T22" s="2830"/>
      <c r="U22" s="2831"/>
      <c r="V22" s="2746"/>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0" t="str">
        <f t="shared" si="134"/>
        <v/>
      </c>
      <c r="EX22" s="517" t="str">
        <f t="shared" si="135"/>
        <v/>
      </c>
      <c r="EY22" s="517" t="str">
        <f t="shared" si="136"/>
        <v/>
      </c>
      <c r="EZ22" s="517" t="str">
        <f t="shared" si="137"/>
        <v/>
      </c>
      <c r="FA22" s="517" t="str">
        <f t="shared" si="138"/>
        <v/>
      </c>
      <c r="FB22" s="517" t="str">
        <f t="shared" si="139"/>
        <v/>
      </c>
      <c r="FC22" s="517" t="str">
        <f t="shared" si="140"/>
        <v/>
      </c>
      <c r="FD22" s="517" t="str">
        <f t="shared" si="141"/>
        <v/>
      </c>
      <c r="FE22" s="517" t="str">
        <f t="shared" si="142"/>
        <v/>
      </c>
      <c r="FF22" s="517" t="str">
        <f t="shared" si="143"/>
        <v/>
      </c>
      <c r="FG22" s="517" t="str">
        <f t="shared" si="144"/>
        <v/>
      </c>
      <c r="FH22" s="517" t="str">
        <f t="shared" si="145"/>
        <v/>
      </c>
      <c r="FI22" s="517" t="str">
        <f t="shared" si="146"/>
        <v/>
      </c>
      <c r="FJ22" s="517" t="str">
        <f t="shared" si="147"/>
        <v/>
      </c>
      <c r="FK22" s="517" t="str">
        <f t="shared" si="148"/>
        <v/>
      </c>
      <c r="FL22" s="517" t="str">
        <f t="shared" si="149"/>
        <v/>
      </c>
      <c r="FM22" s="517" t="str">
        <f t="shared" si="150"/>
        <v/>
      </c>
      <c r="FN22" s="517" t="str">
        <f t="shared" si="151"/>
        <v/>
      </c>
      <c r="FO22" s="517" t="str">
        <f t="shared" si="152"/>
        <v/>
      </c>
      <c r="FP22" s="517" t="str">
        <f t="shared" si="153"/>
        <v/>
      </c>
      <c r="FQ22" s="517" t="str">
        <f t="shared" si="154"/>
        <v/>
      </c>
      <c r="FR22" s="517" t="str">
        <f t="shared" si="155"/>
        <v/>
      </c>
      <c r="FS22" s="517" t="str">
        <f t="shared" si="156"/>
        <v/>
      </c>
      <c r="FT22" s="517" t="str">
        <f t="shared" si="157"/>
        <v/>
      </c>
      <c r="FU22" s="517" t="str">
        <f t="shared" si="158"/>
        <v/>
      </c>
      <c r="FV22" s="517" t="str">
        <f t="shared" si="159"/>
        <v/>
      </c>
      <c r="FW22" s="517" t="str">
        <f t="shared" si="160"/>
        <v/>
      </c>
      <c r="FX22" s="517" t="str">
        <f t="shared" si="161"/>
        <v/>
      </c>
      <c r="FY22" s="517" t="str">
        <f t="shared" si="162"/>
        <v/>
      </c>
      <c r="FZ22" s="517" t="str">
        <f t="shared" si="163"/>
        <v/>
      </c>
      <c r="GA22" s="517" t="str">
        <f t="shared" si="164"/>
        <v/>
      </c>
      <c r="GB22" s="517" t="str">
        <f t="shared" si="165"/>
        <v/>
      </c>
      <c r="GC22" s="517" t="str">
        <f t="shared" si="166"/>
        <v/>
      </c>
      <c r="GD22" s="517" t="str">
        <f t="shared" si="167"/>
        <v/>
      </c>
      <c r="GE22" s="517" t="str">
        <f t="shared" si="168"/>
        <v/>
      </c>
      <c r="GF22" s="517" t="str">
        <f t="shared" si="169"/>
        <v/>
      </c>
      <c r="GG22" s="517" t="str">
        <f t="shared" si="170"/>
        <v/>
      </c>
      <c r="GH22" s="517" t="str">
        <f t="shared" si="171"/>
        <v/>
      </c>
      <c r="GI22" s="517" t="str">
        <f t="shared" si="172"/>
        <v/>
      </c>
      <c r="GJ22" s="517" t="str">
        <f t="shared" si="173"/>
        <v/>
      </c>
      <c r="GK22" s="517" t="str">
        <f t="shared" si="174"/>
        <v/>
      </c>
      <c r="GL22" s="517" t="str">
        <f t="shared" si="175"/>
        <v/>
      </c>
      <c r="GM22" s="517" t="str">
        <f t="shared" si="176"/>
        <v/>
      </c>
      <c r="GN22" s="517" t="str">
        <f t="shared" si="177"/>
        <v/>
      </c>
      <c r="GO22" s="517" t="str">
        <f t="shared" si="178"/>
        <v/>
      </c>
      <c r="GP22" s="517" t="str">
        <f t="shared" si="179"/>
        <v/>
      </c>
      <c r="GQ22" s="517" t="str">
        <f t="shared" si="180"/>
        <v/>
      </c>
      <c r="GR22" s="517" t="str">
        <f t="shared" si="181"/>
        <v/>
      </c>
      <c r="GS22" s="517" t="str">
        <f t="shared" si="182"/>
        <v/>
      </c>
      <c r="GT22" s="517" t="str">
        <f t="shared" si="183"/>
        <v/>
      </c>
      <c r="GU22" s="517" t="str">
        <f t="shared" si="184"/>
        <v/>
      </c>
      <c r="GV22" s="517" t="str">
        <f t="shared" si="185"/>
        <v/>
      </c>
      <c r="GW22" s="517" t="str">
        <f t="shared" si="186"/>
        <v/>
      </c>
      <c r="GX22" s="517" t="str">
        <f t="shared" si="187"/>
        <v/>
      </c>
      <c r="GY22" s="517" t="str">
        <f t="shared" si="188"/>
        <v/>
      </c>
      <c r="GZ22" s="517" t="str">
        <f t="shared" si="189"/>
        <v/>
      </c>
      <c r="HA22" s="517" t="str">
        <f t="shared" si="190"/>
        <v/>
      </c>
      <c r="HB22" s="517" t="str">
        <f t="shared" si="191"/>
        <v/>
      </c>
      <c r="HC22" s="517" t="str">
        <f t="shared" si="192"/>
        <v/>
      </c>
      <c r="HD22" s="517" t="str">
        <f t="shared" si="193"/>
        <v/>
      </c>
      <c r="HE22" s="517" t="str">
        <f t="shared" si="194"/>
        <v/>
      </c>
      <c r="HF22" s="517" t="str">
        <f t="shared" si="195"/>
        <v/>
      </c>
      <c r="HG22" s="517" t="str">
        <f t="shared" si="196"/>
        <v/>
      </c>
      <c r="HH22" s="517" t="str">
        <f t="shared" si="197"/>
        <v/>
      </c>
      <c r="HI22" s="517" t="str">
        <f t="shared" si="198"/>
        <v/>
      </c>
      <c r="HJ22" s="517" t="str">
        <f t="shared" si="199"/>
        <v/>
      </c>
      <c r="HK22" s="517" t="str">
        <f t="shared" si="200"/>
        <v/>
      </c>
      <c r="HL22" s="517" t="str">
        <f t="shared" si="201"/>
        <v/>
      </c>
      <c r="HM22" s="517" t="str">
        <f t="shared" si="202"/>
        <v/>
      </c>
      <c r="HN22" s="517" t="str">
        <f t="shared" si="203"/>
        <v/>
      </c>
      <c r="HO22" s="517" t="str">
        <f t="shared" si="204"/>
        <v/>
      </c>
      <c r="HP22" s="517" t="str">
        <f t="shared" si="205"/>
        <v/>
      </c>
      <c r="HQ22" s="517" t="str">
        <f t="shared" si="206"/>
        <v/>
      </c>
      <c r="HR22" s="517" t="str">
        <f t="shared" si="207"/>
        <v/>
      </c>
      <c r="HS22" s="517" t="str">
        <f t="shared" si="208"/>
        <v/>
      </c>
      <c r="HT22" s="517" t="str">
        <f t="shared" si="209"/>
        <v/>
      </c>
      <c r="HU22" s="517" t="str">
        <f t="shared" si="210"/>
        <v/>
      </c>
      <c r="HV22" s="517" t="str">
        <f t="shared" si="211"/>
        <v/>
      </c>
      <c r="HW22" s="517" t="str">
        <f t="shared" si="212"/>
        <v/>
      </c>
      <c r="HX22" s="517" t="str">
        <f t="shared" si="213"/>
        <v/>
      </c>
      <c r="HY22" s="517" t="str">
        <f t="shared" si="214"/>
        <v/>
      </c>
      <c r="HZ22" s="517" t="str">
        <f t="shared" si="215"/>
        <v/>
      </c>
      <c r="IA22" s="517" t="str">
        <f t="shared" si="216"/>
        <v/>
      </c>
      <c r="IB22" s="517" t="str">
        <f t="shared" si="217"/>
        <v/>
      </c>
      <c r="IC22" s="517" t="str">
        <f t="shared" si="218"/>
        <v/>
      </c>
      <c r="ID22" s="518" t="str">
        <f t="shared" si="219"/>
        <v/>
      </c>
      <c r="IE22" s="518" t="str">
        <f t="shared" si="220"/>
        <v/>
      </c>
      <c r="IF22" s="518" t="str">
        <f t="shared" si="221"/>
        <v/>
      </c>
      <c r="IG22" s="518" t="str">
        <f t="shared" si="222"/>
        <v/>
      </c>
      <c r="IH22" s="518" t="str">
        <f t="shared" si="223"/>
        <v/>
      </c>
      <c r="II22" s="507" t="str">
        <f t="shared" si="224"/>
        <v/>
      </c>
      <c r="IJ22" s="507" t="str">
        <f t="shared" si="225"/>
        <v/>
      </c>
      <c r="IK22" s="507" t="str">
        <f t="shared" si="226"/>
        <v/>
      </c>
      <c r="IL22" s="507" t="str">
        <f t="shared" si="227"/>
        <v/>
      </c>
      <c r="IM22" s="507" t="str">
        <f t="shared" si="228"/>
        <v/>
      </c>
      <c r="IN22" s="507" t="str">
        <f t="shared" si="229"/>
        <v/>
      </c>
      <c r="IO22" s="507" t="str">
        <f t="shared" si="230"/>
        <v/>
      </c>
      <c r="IP22" s="507" t="str">
        <f t="shared" si="231"/>
        <v/>
      </c>
      <c r="IQ22" s="507" t="str">
        <f t="shared" si="232"/>
        <v/>
      </c>
      <c r="IR22" s="507" t="str">
        <f t="shared" si="233"/>
        <v/>
      </c>
      <c r="IS22" s="507" t="str">
        <f t="shared" si="234"/>
        <v/>
      </c>
      <c r="IT22" s="507" t="str">
        <f t="shared" si="235"/>
        <v/>
      </c>
      <c r="IU22" s="507" t="str">
        <f t="shared" si="236"/>
        <v/>
      </c>
      <c r="IV22" s="507" t="str">
        <f t="shared" si="237"/>
        <v/>
      </c>
      <c r="IW22" s="507" t="str">
        <f t="shared" si="238"/>
        <v/>
      </c>
      <c r="IX22" s="507" t="str">
        <f t="shared" si="239"/>
        <v/>
      </c>
      <c r="IY22" s="507" t="str">
        <f t="shared" si="240"/>
        <v/>
      </c>
      <c r="IZ22" s="507" t="str">
        <f t="shared" si="241"/>
        <v/>
      </c>
      <c r="JA22" s="507" t="str">
        <f t="shared" si="242"/>
        <v/>
      </c>
      <c r="JB22" s="507" t="str">
        <f t="shared" si="243"/>
        <v/>
      </c>
      <c r="JC22" s="516">
        <f t="shared" si="244"/>
        <v>0</v>
      </c>
      <c r="JD22" s="516">
        <f t="shared" si="245"/>
        <v>0</v>
      </c>
      <c r="JE22" s="516">
        <f t="shared" si="246"/>
        <v>0</v>
      </c>
      <c r="JF22" s="516">
        <f t="shared" si="247"/>
        <v>0</v>
      </c>
      <c r="JG22" s="516">
        <f t="shared" si="248"/>
        <v>0</v>
      </c>
      <c r="JH22" s="516">
        <f t="shared" si="249"/>
        <v>0</v>
      </c>
      <c r="JI22" s="516">
        <f t="shared" si="250"/>
        <v>0</v>
      </c>
      <c r="JJ22" s="516">
        <f t="shared" si="251"/>
        <v>0</v>
      </c>
      <c r="JK22" s="516">
        <f t="shared" si="252"/>
        <v>0</v>
      </c>
      <c r="JL22" s="516">
        <f t="shared" si="253"/>
        <v>0</v>
      </c>
      <c r="JM22" s="516">
        <f t="shared" si="254"/>
        <v>0</v>
      </c>
      <c r="JN22" s="516">
        <f t="shared" si="255"/>
        <v>0</v>
      </c>
      <c r="JO22" s="516">
        <f t="shared" si="256"/>
        <v>0</v>
      </c>
      <c r="JP22" s="516">
        <f t="shared" si="257"/>
        <v>0</v>
      </c>
      <c r="JQ22" s="516">
        <f t="shared" si="258"/>
        <v>0</v>
      </c>
    </row>
    <row r="23" spans="1:277" ht="12" customHeight="1">
      <c r="A23" s="115" t="str">
        <f t="shared" si="0"/>
        <v/>
      </c>
      <c r="B23" s="2822" t="s">
        <v>1837</v>
      </c>
      <c r="C23" s="2823"/>
      <c r="D23" s="2824"/>
      <c r="E23" s="2825"/>
      <c r="F23" s="2825"/>
      <c r="G23" s="2825"/>
      <c r="H23" s="2825"/>
      <c r="I23" s="2825"/>
      <c r="J23" s="2826"/>
      <c r="K23" s="795">
        <f t="shared" si="1"/>
        <v>0</v>
      </c>
      <c r="L23" s="795">
        <f t="shared" si="2"/>
        <v>0</v>
      </c>
      <c r="M23" s="2827"/>
      <c r="N23" s="2827"/>
      <c r="O23" s="2827"/>
      <c r="P23" s="2828"/>
      <c r="Q23" s="1258" t="str">
        <f t="shared" si="3"/>
        <v/>
      </c>
      <c r="R23" s="1259" t="str">
        <f>IF(H23="","",IF(C23="Efficiency",Q23/($O$6*VLOOKUP(0,'DCA Underwriting Assumptions'!$J$132:$K$137,2,FALSE)),Q23/($O$6*VLOOKUP(C23,'DCA Underwriting Assumptions'!$J$132:$K$137,2,FALSE))))</f>
        <v/>
      </c>
      <c r="S23" s="2829"/>
      <c r="T23" s="2830"/>
      <c r="U23" s="2831"/>
      <c r="V23" s="2746"/>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0" t="str">
        <f t="shared" si="134"/>
        <v/>
      </c>
      <c r="EX23" s="517" t="str">
        <f t="shared" si="135"/>
        <v/>
      </c>
      <c r="EY23" s="517" t="str">
        <f t="shared" si="136"/>
        <v/>
      </c>
      <c r="EZ23" s="517" t="str">
        <f t="shared" si="137"/>
        <v/>
      </c>
      <c r="FA23" s="517" t="str">
        <f t="shared" si="138"/>
        <v/>
      </c>
      <c r="FB23" s="517" t="str">
        <f t="shared" si="139"/>
        <v/>
      </c>
      <c r="FC23" s="517" t="str">
        <f t="shared" si="140"/>
        <v/>
      </c>
      <c r="FD23" s="517" t="str">
        <f t="shared" si="141"/>
        <v/>
      </c>
      <c r="FE23" s="517" t="str">
        <f t="shared" si="142"/>
        <v/>
      </c>
      <c r="FF23" s="517" t="str">
        <f t="shared" si="143"/>
        <v/>
      </c>
      <c r="FG23" s="517" t="str">
        <f t="shared" si="144"/>
        <v/>
      </c>
      <c r="FH23" s="517" t="str">
        <f t="shared" si="145"/>
        <v/>
      </c>
      <c r="FI23" s="517" t="str">
        <f t="shared" si="146"/>
        <v/>
      </c>
      <c r="FJ23" s="517" t="str">
        <f t="shared" si="147"/>
        <v/>
      </c>
      <c r="FK23" s="517" t="str">
        <f t="shared" si="148"/>
        <v/>
      </c>
      <c r="FL23" s="517" t="str">
        <f t="shared" si="149"/>
        <v/>
      </c>
      <c r="FM23" s="517" t="str">
        <f t="shared" si="150"/>
        <v/>
      </c>
      <c r="FN23" s="517" t="str">
        <f t="shared" si="151"/>
        <v/>
      </c>
      <c r="FO23" s="517" t="str">
        <f t="shared" si="152"/>
        <v/>
      </c>
      <c r="FP23" s="517" t="str">
        <f t="shared" si="153"/>
        <v/>
      </c>
      <c r="FQ23" s="517" t="str">
        <f t="shared" si="154"/>
        <v/>
      </c>
      <c r="FR23" s="517" t="str">
        <f t="shared" si="155"/>
        <v/>
      </c>
      <c r="FS23" s="517" t="str">
        <f t="shared" si="156"/>
        <v/>
      </c>
      <c r="FT23" s="517" t="str">
        <f t="shared" si="157"/>
        <v/>
      </c>
      <c r="FU23" s="517" t="str">
        <f t="shared" si="158"/>
        <v/>
      </c>
      <c r="FV23" s="517" t="str">
        <f t="shared" si="159"/>
        <v/>
      </c>
      <c r="FW23" s="517" t="str">
        <f t="shared" si="160"/>
        <v/>
      </c>
      <c r="FX23" s="517" t="str">
        <f t="shared" si="161"/>
        <v/>
      </c>
      <c r="FY23" s="517" t="str">
        <f t="shared" si="162"/>
        <v/>
      </c>
      <c r="FZ23" s="517" t="str">
        <f t="shared" si="163"/>
        <v/>
      </c>
      <c r="GA23" s="517" t="str">
        <f t="shared" si="164"/>
        <v/>
      </c>
      <c r="GB23" s="517" t="str">
        <f t="shared" si="165"/>
        <v/>
      </c>
      <c r="GC23" s="517" t="str">
        <f t="shared" si="166"/>
        <v/>
      </c>
      <c r="GD23" s="517" t="str">
        <f t="shared" si="167"/>
        <v/>
      </c>
      <c r="GE23" s="517" t="str">
        <f t="shared" si="168"/>
        <v/>
      </c>
      <c r="GF23" s="517" t="str">
        <f t="shared" si="169"/>
        <v/>
      </c>
      <c r="GG23" s="517" t="str">
        <f t="shared" si="170"/>
        <v/>
      </c>
      <c r="GH23" s="517" t="str">
        <f t="shared" si="171"/>
        <v/>
      </c>
      <c r="GI23" s="517" t="str">
        <f t="shared" si="172"/>
        <v/>
      </c>
      <c r="GJ23" s="517" t="str">
        <f t="shared" si="173"/>
        <v/>
      </c>
      <c r="GK23" s="517" t="str">
        <f t="shared" si="174"/>
        <v/>
      </c>
      <c r="GL23" s="517" t="str">
        <f t="shared" si="175"/>
        <v/>
      </c>
      <c r="GM23" s="517" t="str">
        <f t="shared" si="176"/>
        <v/>
      </c>
      <c r="GN23" s="517" t="str">
        <f t="shared" si="177"/>
        <v/>
      </c>
      <c r="GO23" s="517" t="str">
        <f t="shared" si="178"/>
        <v/>
      </c>
      <c r="GP23" s="517" t="str">
        <f t="shared" si="179"/>
        <v/>
      </c>
      <c r="GQ23" s="517" t="str">
        <f t="shared" si="180"/>
        <v/>
      </c>
      <c r="GR23" s="517" t="str">
        <f t="shared" si="181"/>
        <v/>
      </c>
      <c r="GS23" s="517" t="str">
        <f t="shared" si="182"/>
        <v/>
      </c>
      <c r="GT23" s="517" t="str">
        <f t="shared" si="183"/>
        <v/>
      </c>
      <c r="GU23" s="517" t="str">
        <f t="shared" si="184"/>
        <v/>
      </c>
      <c r="GV23" s="517" t="str">
        <f t="shared" si="185"/>
        <v/>
      </c>
      <c r="GW23" s="517" t="str">
        <f t="shared" si="186"/>
        <v/>
      </c>
      <c r="GX23" s="517" t="str">
        <f t="shared" si="187"/>
        <v/>
      </c>
      <c r="GY23" s="517" t="str">
        <f t="shared" si="188"/>
        <v/>
      </c>
      <c r="GZ23" s="517" t="str">
        <f t="shared" si="189"/>
        <v/>
      </c>
      <c r="HA23" s="517" t="str">
        <f t="shared" si="190"/>
        <v/>
      </c>
      <c r="HB23" s="517" t="str">
        <f t="shared" si="191"/>
        <v/>
      </c>
      <c r="HC23" s="517" t="str">
        <f t="shared" si="192"/>
        <v/>
      </c>
      <c r="HD23" s="517" t="str">
        <f t="shared" si="193"/>
        <v/>
      </c>
      <c r="HE23" s="517" t="str">
        <f t="shared" si="194"/>
        <v/>
      </c>
      <c r="HF23" s="517" t="str">
        <f t="shared" si="195"/>
        <v/>
      </c>
      <c r="HG23" s="517" t="str">
        <f t="shared" si="196"/>
        <v/>
      </c>
      <c r="HH23" s="517" t="str">
        <f t="shared" si="197"/>
        <v/>
      </c>
      <c r="HI23" s="517" t="str">
        <f t="shared" si="198"/>
        <v/>
      </c>
      <c r="HJ23" s="517" t="str">
        <f t="shared" si="199"/>
        <v/>
      </c>
      <c r="HK23" s="517" t="str">
        <f t="shared" si="200"/>
        <v/>
      </c>
      <c r="HL23" s="517" t="str">
        <f t="shared" si="201"/>
        <v/>
      </c>
      <c r="HM23" s="517" t="str">
        <f t="shared" si="202"/>
        <v/>
      </c>
      <c r="HN23" s="517" t="str">
        <f t="shared" si="203"/>
        <v/>
      </c>
      <c r="HO23" s="517" t="str">
        <f t="shared" si="204"/>
        <v/>
      </c>
      <c r="HP23" s="517" t="str">
        <f t="shared" si="205"/>
        <v/>
      </c>
      <c r="HQ23" s="517" t="str">
        <f t="shared" si="206"/>
        <v/>
      </c>
      <c r="HR23" s="517" t="str">
        <f t="shared" si="207"/>
        <v/>
      </c>
      <c r="HS23" s="517" t="str">
        <f t="shared" si="208"/>
        <v/>
      </c>
      <c r="HT23" s="517" t="str">
        <f t="shared" si="209"/>
        <v/>
      </c>
      <c r="HU23" s="517" t="str">
        <f t="shared" si="210"/>
        <v/>
      </c>
      <c r="HV23" s="517" t="str">
        <f t="shared" si="211"/>
        <v/>
      </c>
      <c r="HW23" s="517" t="str">
        <f t="shared" si="212"/>
        <v/>
      </c>
      <c r="HX23" s="517" t="str">
        <f t="shared" si="213"/>
        <v/>
      </c>
      <c r="HY23" s="517" t="str">
        <f t="shared" si="214"/>
        <v/>
      </c>
      <c r="HZ23" s="517" t="str">
        <f t="shared" si="215"/>
        <v/>
      </c>
      <c r="IA23" s="517" t="str">
        <f t="shared" si="216"/>
        <v/>
      </c>
      <c r="IB23" s="517" t="str">
        <f t="shared" si="217"/>
        <v/>
      </c>
      <c r="IC23" s="517" t="str">
        <f t="shared" si="218"/>
        <v/>
      </c>
      <c r="ID23" s="518" t="str">
        <f t="shared" si="219"/>
        <v/>
      </c>
      <c r="IE23" s="518" t="str">
        <f t="shared" si="220"/>
        <v/>
      </c>
      <c r="IF23" s="518" t="str">
        <f t="shared" si="221"/>
        <v/>
      </c>
      <c r="IG23" s="518" t="str">
        <f t="shared" si="222"/>
        <v/>
      </c>
      <c r="IH23" s="518" t="str">
        <f t="shared" si="223"/>
        <v/>
      </c>
      <c r="II23" s="507" t="str">
        <f t="shared" si="224"/>
        <v/>
      </c>
      <c r="IJ23" s="507" t="str">
        <f t="shared" si="225"/>
        <v/>
      </c>
      <c r="IK23" s="507" t="str">
        <f t="shared" si="226"/>
        <v/>
      </c>
      <c r="IL23" s="507" t="str">
        <f t="shared" si="227"/>
        <v/>
      </c>
      <c r="IM23" s="507" t="str">
        <f t="shared" si="228"/>
        <v/>
      </c>
      <c r="IN23" s="507" t="str">
        <f t="shared" si="229"/>
        <v/>
      </c>
      <c r="IO23" s="507" t="str">
        <f t="shared" si="230"/>
        <v/>
      </c>
      <c r="IP23" s="507" t="str">
        <f t="shared" si="231"/>
        <v/>
      </c>
      <c r="IQ23" s="507" t="str">
        <f t="shared" si="232"/>
        <v/>
      </c>
      <c r="IR23" s="507" t="str">
        <f t="shared" si="233"/>
        <v/>
      </c>
      <c r="IS23" s="507" t="str">
        <f t="shared" si="234"/>
        <v/>
      </c>
      <c r="IT23" s="507" t="str">
        <f t="shared" si="235"/>
        <v/>
      </c>
      <c r="IU23" s="507" t="str">
        <f t="shared" si="236"/>
        <v/>
      </c>
      <c r="IV23" s="507" t="str">
        <f t="shared" si="237"/>
        <v/>
      </c>
      <c r="IW23" s="507" t="str">
        <f t="shared" si="238"/>
        <v/>
      </c>
      <c r="IX23" s="507" t="str">
        <f t="shared" si="239"/>
        <v/>
      </c>
      <c r="IY23" s="507" t="str">
        <f t="shared" si="240"/>
        <v/>
      </c>
      <c r="IZ23" s="507" t="str">
        <f t="shared" si="241"/>
        <v/>
      </c>
      <c r="JA23" s="507" t="str">
        <f t="shared" si="242"/>
        <v/>
      </c>
      <c r="JB23" s="507" t="str">
        <f t="shared" si="243"/>
        <v/>
      </c>
      <c r="JC23" s="516">
        <f t="shared" si="244"/>
        <v>0</v>
      </c>
      <c r="JD23" s="516">
        <f t="shared" si="245"/>
        <v>0</v>
      </c>
      <c r="JE23" s="516">
        <f t="shared" si="246"/>
        <v>0</v>
      </c>
      <c r="JF23" s="516">
        <f t="shared" si="247"/>
        <v>0</v>
      </c>
      <c r="JG23" s="516">
        <f t="shared" si="248"/>
        <v>0</v>
      </c>
      <c r="JH23" s="516">
        <f t="shared" si="249"/>
        <v>0</v>
      </c>
      <c r="JI23" s="516">
        <f t="shared" si="250"/>
        <v>0</v>
      </c>
      <c r="JJ23" s="516">
        <f t="shared" si="251"/>
        <v>0</v>
      </c>
      <c r="JK23" s="516">
        <f t="shared" si="252"/>
        <v>0</v>
      </c>
      <c r="JL23" s="516">
        <f t="shared" si="253"/>
        <v>0</v>
      </c>
      <c r="JM23" s="516">
        <f t="shared" si="254"/>
        <v>0</v>
      </c>
      <c r="JN23" s="516">
        <f t="shared" si="255"/>
        <v>0</v>
      </c>
      <c r="JO23" s="516">
        <f t="shared" si="256"/>
        <v>0</v>
      </c>
      <c r="JP23" s="516">
        <f t="shared" si="257"/>
        <v>0</v>
      </c>
      <c r="JQ23" s="516">
        <f t="shared" si="258"/>
        <v>0</v>
      </c>
    </row>
    <row r="24" spans="1:277" ht="12" customHeight="1">
      <c r="A24" s="115" t="str">
        <f t="shared" si="0"/>
        <v/>
      </c>
      <c r="B24" s="2822" t="s">
        <v>1837</v>
      </c>
      <c r="C24" s="2823"/>
      <c r="D24" s="2824"/>
      <c r="E24" s="2825"/>
      <c r="F24" s="2825"/>
      <c r="G24" s="2825"/>
      <c r="H24" s="2825"/>
      <c r="I24" s="2825"/>
      <c r="J24" s="2826"/>
      <c r="K24" s="795">
        <f t="shared" si="1"/>
        <v>0</v>
      </c>
      <c r="L24" s="795">
        <f t="shared" si="2"/>
        <v>0</v>
      </c>
      <c r="M24" s="2827"/>
      <c r="N24" s="2827"/>
      <c r="O24" s="2827"/>
      <c r="P24" s="2828"/>
      <c r="Q24" s="1258" t="str">
        <f t="shared" si="3"/>
        <v/>
      </c>
      <c r="R24" s="1259" t="str">
        <f>IF(H24="","",IF(C24="Efficiency",Q24/($O$6*VLOOKUP(0,'DCA Underwriting Assumptions'!$J$132:$K$137,2,FALSE)),Q24/($O$6*VLOOKUP(C24,'DCA Underwriting Assumptions'!$J$132:$K$137,2,FALSE))))</f>
        <v/>
      </c>
      <c r="S24" s="2829"/>
      <c r="T24" s="2830"/>
      <c r="U24" s="2831"/>
      <c r="V24" s="2746"/>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0" t="str">
        <f t="shared" si="134"/>
        <v/>
      </c>
      <c r="EX24" s="517" t="str">
        <f t="shared" si="135"/>
        <v/>
      </c>
      <c r="EY24" s="517" t="str">
        <f t="shared" si="136"/>
        <v/>
      </c>
      <c r="EZ24" s="517" t="str">
        <f t="shared" si="137"/>
        <v/>
      </c>
      <c r="FA24" s="517" t="str">
        <f t="shared" si="138"/>
        <v/>
      </c>
      <c r="FB24" s="517" t="str">
        <f t="shared" si="139"/>
        <v/>
      </c>
      <c r="FC24" s="517" t="str">
        <f t="shared" si="140"/>
        <v/>
      </c>
      <c r="FD24" s="517" t="str">
        <f t="shared" si="141"/>
        <v/>
      </c>
      <c r="FE24" s="517" t="str">
        <f t="shared" si="142"/>
        <v/>
      </c>
      <c r="FF24" s="517" t="str">
        <f t="shared" si="143"/>
        <v/>
      </c>
      <c r="FG24" s="517" t="str">
        <f t="shared" si="144"/>
        <v/>
      </c>
      <c r="FH24" s="517" t="str">
        <f t="shared" si="145"/>
        <v/>
      </c>
      <c r="FI24" s="517" t="str">
        <f t="shared" si="146"/>
        <v/>
      </c>
      <c r="FJ24" s="517" t="str">
        <f t="shared" si="147"/>
        <v/>
      </c>
      <c r="FK24" s="517" t="str">
        <f t="shared" si="148"/>
        <v/>
      </c>
      <c r="FL24" s="517" t="str">
        <f t="shared" si="149"/>
        <v/>
      </c>
      <c r="FM24" s="517" t="str">
        <f t="shared" si="150"/>
        <v/>
      </c>
      <c r="FN24" s="517" t="str">
        <f t="shared" si="151"/>
        <v/>
      </c>
      <c r="FO24" s="517" t="str">
        <f t="shared" si="152"/>
        <v/>
      </c>
      <c r="FP24" s="517" t="str">
        <f t="shared" si="153"/>
        <v/>
      </c>
      <c r="FQ24" s="517" t="str">
        <f t="shared" si="154"/>
        <v/>
      </c>
      <c r="FR24" s="517" t="str">
        <f t="shared" si="155"/>
        <v/>
      </c>
      <c r="FS24" s="517" t="str">
        <f t="shared" si="156"/>
        <v/>
      </c>
      <c r="FT24" s="517" t="str">
        <f t="shared" si="157"/>
        <v/>
      </c>
      <c r="FU24" s="517" t="str">
        <f t="shared" si="158"/>
        <v/>
      </c>
      <c r="FV24" s="517" t="str">
        <f t="shared" si="159"/>
        <v/>
      </c>
      <c r="FW24" s="517" t="str">
        <f t="shared" si="160"/>
        <v/>
      </c>
      <c r="FX24" s="517" t="str">
        <f t="shared" si="161"/>
        <v/>
      </c>
      <c r="FY24" s="517" t="str">
        <f t="shared" si="162"/>
        <v/>
      </c>
      <c r="FZ24" s="517" t="str">
        <f t="shared" si="163"/>
        <v/>
      </c>
      <c r="GA24" s="517" t="str">
        <f t="shared" si="164"/>
        <v/>
      </c>
      <c r="GB24" s="517" t="str">
        <f t="shared" si="165"/>
        <v/>
      </c>
      <c r="GC24" s="517" t="str">
        <f t="shared" si="166"/>
        <v/>
      </c>
      <c r="GD24" s="517" t="str">
        <f t="shared" si="167"/>
        <v/>
      </c>
      <c r="GE24" s="517" t="str">
        <f t="shared" si="168"/>
        <v/>
      </c>
      <c r="GF24" s="517" t="str">
        <f t="shared" si="169"/>
        <v/>
      </c>
      <c r="GG24" s="517" t="str">
        <f t="shared" si="170"/>
        <v/>
      </c>
      <c r="GH24" s="517" t="str">
        <f t="shared" si="171"/>
        <v/>
      </c>
      <c r="GI24" s="517" t="str">
        <f t="shared" si="172"/>
        <v/>
      </c>
      <c r="GJ24" s="517" t="str">
        <f t="shared" si="173"/>
        <v/>
      </c>
      <c r="GK24" s="517" t="str">
        <f t="shared" si="174"/>
        <v/>
      </c>
      <c r="GL24" s="517" t="str">
        <f t="shared" si="175"/>
        <v/>
      </c>
      <c r="GM24" s="517" t="str">
        <f t="shared" si="176"/>
        <v/>
      </c>
      <c r="GN24" s="517" t="str">
        <f t="shared" si="177"/>
        <v/>
      </c>
      <c r="GO24" s="517" t="str">
        <f t="shared" si="178"/>
        <v/>
      </c>
      <c r="GP24" s="517" t="str">
        <f t="shared" si="179"/>
        <v/>
      </c>
      <c r="GQ24" s="517" t="str">
        <f t="shared" si="180"/>
        <v/>
      </c>
      <c r="GR24" s="517" t="str">
        <f t="shared" si="181"/>
        <v/>
      </c>
      <c r="GS24" s="517" t="str">
        <f t="shared" si="182"/>
        <v/>
      </c>
      <c r="GT24" s="517" t="str">
        <f t="shared" si="183"/>
        <v/>
      </c>
      <c r="GU24" s="517" t="str">
        <f t="shared" si="184"/>
        <v/>
      </c>
      <c r="GV24" s="517" t="str">
        <f t="shared" si="185"/>
        <v/>
      </c>
      <c r="GW24" s="517" t="str">
        <f t="shared" si="186"/>
        <v/>
      </c>
      <c r="GX24" s="517" t="str">
        <f t="shared" si="187"/>
        <v/>
      </c>
      <c r="GY24" s="517" t="str">
        <f t="shared" si="188"/>
        <v/>
      </c>
      <c r="GZ24" s="517" t="str">
        <f t="shared" si="189"/>
        <v/>
      </c>
      <c r="HA24" s="517" t="str">
        <f t="shared" si="190"/>
        <v/>
      </c>
      <c r="HB24" s="517" t="str">
        <f t="shared" si="191"/>
        <v/>
      </c>
      <c r="HC24" s="517" t="str">
        <f t="shared" si="192"/>
        <v/>
      </c>
      <c r="HD24" s="517" t="str">
        <f t="shared" si="193"/>
        <v/>
      </c>
      <c r="HE24" s="517" t="str">
        <f t="shared" si="194"/>
        <v/>
      </c>
      <c r="HF24" s="517" t="str">
        <f t="shared" si="195"/>
        <v/>
      </c>
      <c r="HG24" s="517" t="str">
        <f t="shared" si="196"/>
        <v/>
      </c>
      <c r="HH24" s="517" t="str">
        <f t="shared" si="197"/>
        <v/>
      </c>
      <c r="HI24" s="517" t="str">
        <f t="shared" si="198"/>
        <v/>
      </c>
      <c r="HJ24" s="517" t="str">
        <f t="shared" si="199"/>
        <v/>
      </c>
      <c r="HK24" s="517" t="str">
        <f t="shared" si="200"/>
        <v/>
      </c>
      <c r="HL24" s="517" t="str">
        <f t="shared" si="201"/>
        <v/>
      </c>
      <c r="HM24" s="517" t="str">
        <f t="shared" si="202"/>
        <v/>
      </c>
      <c r="HN24" s="517" t="str">
        <f t="shared" si="203"/>
        <v/>
      </c>
      <c r="HO24" s="517" t="str">
        <f t="shared" si="204"/>
        <v/>
      </c>
      <c r="HP24" s="517" t="str">
        <f t="shared" si="205"/>
        <v/>
      </c>
      <c r="HQ24" s="517" t="str">
        <f t="shared" si="206"/>
        <v/>
      </c>
      <c r="HR24" s="517" t="str">
        <f t="shared" si="207"/>
        <v/>
      </c>
      <c r="HS24" s="517" t="str">
        <f t="shared" si="208"/>
        <v/>
      </c>
      <c r="HT24" s="517" t="str">
        <f t="shared" si="209"/>
        <v/>
      </c>
      <c r="HU24" s="517" t="str">
        <f t="shared" si="210"/>
        <v/>
      </c>
      <c r="HV24" s="517" t="str">
        <f t="shared" si="211"/>
        <v/>
      </c>
      <c r="HW24" s="517" t="str">
        <f t="shared" si="212"/>
        <v/>
      </c>
      <c r="HX24" s="517" t="str">
        <f t="shared" si="213"/>
        <v/>
      </c>
      <c r="HY24" s="517" t="str">
        <f t="shared" si="214"/>
        <v/>
      </c>
      <c r="HZ24" s="517" t="str">
        <f t="shared" si="215"/>
        <v/>
      </c>
      <c r="IA24" s="517" t="str">
        <f t="shared" si="216"/>
        <v/>
      </c>
      <c r="IB24" s="517" t="str">
        <f t="shared" si="217"/>
        <v/>
      </c>
      <c r="IC24" s="517" t="str">
        <f t="shared" si="218"/>
        <v/>
      </c>
      <c r="ID24" s="518" t="str">
        <f t="shared" si="219"/>
        <v/>
      </c>
      <c r="IE24" s="518" t="str">
        <f t="shared" si="220"/>
        <v/>
      </c>
      <c r="IF24" s="518" t="str">
        <f t="shared" si="221"/>
        <v/>
      </c>
      <c r="IG24" s="518" t="str">
        <f t="shared" si="222"/>
        <v/>
      </c>
      <c r="IH24" s="518" t="str">
        <f t="shared" si="223"/>
        <v/>
      </c>
      <c r="II24" s="507" t="str">
        <f t="shared" si="224"/>
        <v/>
      </c>
      <c r="IJ24" s="507" t="str">
        <f t="shared" si="225"/>
        <v/>
      </c>
      <c r="IK24" s="507" t="str">
        <f t="shared" si="226"/>
        <v/>
      </c>
      <c r="IL24" s="507" t="str">
        <f t="shared" si="227"/>
        <v/>
      </c>
      <c r="IM24" s="507" t="str">
        <f t="shared" si="228"/>
        <v/>
      </c>
      <c r="IN24" s="507" t="str">
        <f t="shared" si="229"/>
        <v/>
      </c>
      <c r="IO24" s="507" t="str">
        <f t="shared" si="230"/>
        <v/>
      </c>
      <c r="IP24" s="507" t="str">
        <f t="shared" si="231"/>
        <v/>
      </c>
      <c r="IQ24" s="507" t="str">
        <f t="shared" si="232"/>
        <v/>
      </c>
      <c r="IR24" s="507" t="str">
        <f t="shared" si="233"/>
        <v/>
      </c>
      <c r="IS24" s="507" t="str">
        <f t="shared" si="234"/>
        <v/>
      </c>
      <c r="IT24" s="507" t="str">
        <f t="shared" si="235"/>
        <v/>
      </c>
      <c r="IU24" s="507" t="str">
        <f t="shared" si="236"/>
        <v/>
      </c>
      <c r="IV24" s="507" t="str">
        <f t="shared" si="237"/>
        <v/>
      </c>
      <c r="IW24" s="507" t="str">
        <f t="shared" si="238"/>
        <v/>
      </c>
      <c r="IX24" s="507" t="str">
        <f t="shared" si="239"/>
        <v/>
      </c>
      <c r="IY24" s="507" t="str">
        <f t="shared" si="240"/>
        <v/>
      </c>
      <c r="IZ24" s="507" t="str">
        <f t="shared" si="241"/>
        <v/>
      </c>
      <c r="JA24" s="507" t="str">
        <f t="shared" si="242"/>
        <v/>
      </c>
      <c r="JB24" s="507" t="str">
        <f t="shared" si="243"/>
        <v/>
      </c>
      <c r="JC24" s="516">
        <f t="shared" si="244"/>
        <v>0</v>
      </c>
      <c r="JD24" s="516">
        <f t="shared" si="245"/>
        <v>0</v>
      </c>
      <c r="JE24" s="516">
        <f t="shared" si="246"/>
        <v>0</v>
      </c>
      <c r="JF24" s="516">
        <f t="shared" si="247"/>
        <v>0</v>
      </c>
      <c r="JG24" s="516">
        <f t="shared" si="248"/>
        <v>0</v>
      </c>
      <c r="JH24" s="516">
        <f t="shared" si="249"/>
        <v>0</v>
      </c>
      <c r="JI24" s="516">
        <f t="shared" si="250"/>
        <v>0</v>
      </c>
      <c r="JJ24" s="516">
        <f t="shared" si="251"/>
        <v>0</v>
      </c>
      <c r="JK24" s="516">
        <f t="shared" si="252"/>
        <v>0</v>
      </c>
      <c r="JL24" s="516">
        <f t="shared" si="253"/>
        <v>0</v>
      </c>
      <c r="JM24" s="516">
        <f t="shared" si="254"/>
        <v>0</v>
      </c>
      <c r="JN24" s="516">
        <f t="shared" si="255"/>
        <v>0</v>
      </c>
      <c r="JO24" s="516">
        <f t="shared" si="256"/>
        <v>0</v>
      </c>
      <c r="JP24" s="516">
        <f t="shared" si="257"/>
        <v>0</v>
      </c>
      <c r="JQ24" s="516">
        <f t="shared" si="258"/>
        <v>0</v>
      </c>
    </row>
    <row r="25" spans="1:277" ht="12" customHeight="1">
      <c r="A25" s="115" t="str">
        <f t="shared" si="0"/>
        <v/>
      </c>
      <c r="B25" s="2822" t="s">
        <v>1837</v>
      </c>
      <c r="C25" s="2823"/>
      <c r="D25" s="2824"/>
      <c r="E25" s="2825"/>
      <c r="F25" s="2825"/>
      <c r="G25" s="2825"/>
      <c r="H25" s="2825"/>
      <c r="I25" s="2825"/>
      <c r="J25" s="2826"/>
      <c r="K25" s="795">
        <f t="shared" si="1"/>
        <v>0</v>
      </c>
      <c r="L25" s="795">
        <f t="shared" si="2"/>
        <v>0</v>
      </c>
      <c r="M25" s="2827"/>
      <c r="N25" s="2827"/>
      <c r="O25" s="2827"/>
      <c r="P25" s="2828"/>
      <c r="Q25" s="1258" t="str">
        <f t="shared" si="3"/>
        <v/>
      </c>
      <c r="R25" s="1259" t="str">
        <f>IF(H25="","",IF(C25="Efficiency",Q25/($O$6*VLOOKUP(0,'DCA Underwriting Assumptions'!$J$132:$K$137,2,FALSE)),Q25/($O$6*VLOOKUP(C25,'DCA Underwriting Assumptions'!$J$132:$K$137,2,FALSE))))</f>
        <v/>
      </c>
      <c r="S25" s="2829"/>
      <c r="T25" s="2830"/>
      <c r="U25" s="2831"/>
      <c r="V25" s="2746"/>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0" t="str">
        <f t="shared" si="134"/>
        <v/>
      </c>
      <c r="EX25" s="517" t="str">
        <f t="shared" si="135"/>
        <v/>
      </c>
      <c r="EY25" s="517" t="str">
        <f t="shared" si="136"/>
        <v/>
      </c>
      <c r="EZ25" s="517" t="str">
        <f t="shared" si="137"/>
        <v/>
      </c>
      <c r="FA25" s="517" t="str">
        <f t="shared" si="138"/>
        <v/>
      </c>
      <c r="FB25" s="517" t="str">
        <f t="shared" si="139"/>
        <v/>
      </c>
      <c r="FC25" s="517" t="str">
        <f t="shared" si="140"/>
        <v/>
      </c>
      <c r="FD25" s="517" t="str">
        <f t="shared" si="141"/>
        <v/>
      </c>
      <c r="FE25" s="517" t="str">
        <f t="shared" si="142"/>
        <v/>
      </c>
      <c r="FF25" s="517" t="str">
        <f t="shared" si="143"/>
        <v/>
      </c>
      <c r="FG25" s="517" t="str">
        <f t="shared" si="144"/>
        <v/>
      </c>
      <c r="FH25" s="517" t="str">
        <f t="shared" si="145"/>
        <v/>
      </c>
      <c r="FI25" s="517" t="str">
        <f t="shared" si="146"/>
        <v/>
      </c>
      <c r="FJ25" s="517" t="str">
        <f t="shared" si="147"/>
        <v/>
      </c>
      <c r="FK25" s="517" t="str">
        <f t="shared" si="148"/>
        <v/>
      </c>
      <c r="FL25" s="517" t="str">
        <f t="shared" si="149"/>
        <v/>
      </c>
      <c r="FM25" s="517" t="str">
        <f t="shared" si="150"/>
        <v/>
      </c>
      <c r="FN25" s="517" t="str">
        <f t="shared" si="151"/>
        <v/>
      </c>
      <c r="FO25" s="517" t="str">
        <f t="shared" si="152"/>
        <v/>
      </c>
      <c r="FP25" s="517" t="str">
        <f t="shared" si="153"/>
        <v/>
      </c>
      <c r="FQ25" s="517" t="str">
        <f t="shared" si="154"/>
        <v/>
      </c>
      <c r="FR25" s="517" t="str">
        <f t="shared" si="155"/>
        <v/>
      </c>
      <c r="FS25" s="517" t="str">
        <f t="shared" si="156"/>
        <v/>
      </c>
      <c r="FT25" s="517" t="str">
        <f t="shared" si="157"/>
        <v/>
      </c>
      <c r="FU25" s="517" t="str">
        <f t="shared" si="158"/>
        <v/>
      </c>
      <c r="FV25" s="517" t="str">
        <f t="shared" si="159"/>
        <v/>
      </c>
      <c r="FW25" s="517" t="str">
        <f t="shared" si="160"/>
        <v/>
      </c>
      <c r="FX25" s="517" t="str">
        <f t="shared" si="161"/>
        <v/>
      </c>
      <c r="FY25" s="517" t="str">
        <f t="shared" si="162"/>
        <v/>
      </c>
      <c r="FZ25" s="517" t="str">
        <f t="shared" si="163"/>
        <v/>
      </c>
      <c r="GA25" s="517" t="str">
        <f t="shared" si="164"/>
        <v/>
      </c>
      <c r="GB25" s="517" t="str">
        <f t="shared" si="165"/>
        <v/>
      </c>
      <c r="GC25" s="517" t="str">
        <f t="shared" si="166"/>
        <v/>
      </c>
      <c r="GD25" s="517" t="str">
        <f t="shared" si="167"/>
        <v/>
      </c>
      <c r="GE25" s="517" t="str">
        <f t="shared" si="168"/>
        <v/>
      </c>
      <c r="GF25" s="517" t="str">
        <f t="shared" si="169"/>
        <v/>
      </c>
      <c r="GG25" s="517" t="str">
        <f t="shared" si="170"/>
        <v/>
      </c>
      <c r="GH25" s="517" t="str">
        <f t="shared" si="171"/>
        <v/>
      </c>
      <c r="GI25" s="517" t="str">
        <f t="shared" si="172"/>
        <v/>
      </c>
      <c r="GJ25" s="517" t="str">
        <f t="shared" si="173"/>
        <v/>
      </c>
      <c r="GK25" s="517" t="str">
        <f t="shared" si="174"/>
        <v/>
      </c>
      <c r="GL25" s="517" t="str">
        <f t="shared" si="175"/>
        <v/>
      </c>
      <c r="GM25" s="517" t="str">
        <f t="shared" si="176"/>
        <v/>
      </c>
      <c r="GN25" s="517" t="str">
        <f t="shared" si="177"/>
        <v/>
      </c>
      <c r="GO25" s="517" t="str">
        <f t="shared" si="178"/>
        <v/>
      </c>
      <c r="GP25" s="517" t="str">
        <f t="shared" si="179"/>
        <v/>
      </c>
      <c r="GQ25" s="517" t="str">
        <f t="shared" si="180"/>
        <v/>
      </c>
      <c r="GR25" s="517" t="str">
        <f t="shared" si="181"/>
        <v/>
      </c>
      <c r="GS25" s="517" t="str">
        <f t="shared" si="182"/>
        <v/>
      </c>
      <c r="GT25" s="517" t="str">
        <f t="shared" si="183"/>
        <v/>
      </c>
      <c r="GU25" s="517" t="str">
        <f t="shared" si="184"/>
        <v/>
      </c>
      <c r="GV25" s="517" t="str">
        <f t="shared" si="185"/>
        <v/>
      </c>
      <c r="GW25" s="517" t="str">
        <f t="shared" si="186"/>
        <v/>
      </c>
      <c r="GX25" s="517" t="str">
        <f t="shared" si="187"/>
        <v/>
      </c>
      <c r="GY25" s="517" t="str">
        <f t="shared" si="188"/>
        <v/>
      </c>
      <c r="GZ25" s="517" t="str">
        <f t="shared" si="189"/>
        <v/>
      </c>
      <c r="HA25" s="517" t="str">
        <f t="shared" si="190"/>
        <v/>
      </c>
      <c r="HB25" s="517" t="str">
        <f t="shared" si="191"/>
        <v/>
      </c>
      <c r="HC25" s="517" t="str">
        <f t="shared" si="192"/>
        <v/>
      </c>
      <c r="HD25" s="517" t="str">
        <f t="shared" si="193"/>
        <v/>
      </c>
      <c r="HE25" s="517" t="str">
        <f t="shared" si="194"/>
        <v/>
      </c>
      <c r="HF25" s="517" t="str">
        <f t="shared" si="195"/>
        <v/>
      </c>
      <c r="HG25" s="517" t="str">
        <f t="shared" si="196"/>
        <v/>
      </c>
      <c r="HH25" s="517" t="str">
        <f t="shared" si="197"/>
        <v/>
      </c>
      <c r="HI25" s="517" t="str">
        <f t="shared" si="198"/>
        <v/>
      </c>
      <c r="HJ25" s="517" t="str">
        <f t="shared" si="199"/>
        <v/>
      </c>
      <c r="HK25" s="517" t="str">
        <f t="shared" si="200"/>
        <v/>
      </c>
      <c r="HL25" s="517" t="str">
        <f t="shared" si="201"/>
        <v/>
      </c>
      <c r="HM25" s="517" t="str">
        <f t="shared" si="202"/>
        <v/>
      </c>
      <c r="HN25" s="517" t="str">
        <f t="shared" si="203"/>
        <v/>
      </c>
      <c r="HO25" s="517" t="str">
        <f t="shared" si="204"/>
        <v/>
      </c>
      <c r="HP25" s="517" t="str">
        <f t="shared" si="205"/>
        <v/>
      </c>
      <c r="HQ25" s="517" t="str">
        <f t="shared" si="206"/>
        <v/>
      </c>
      <c r="HR25" s="517" t="str">
        <f t="shared" si="207"/>
        <v/>
      </c>
      <c r="HS25" s="517" t="str">
        <f t="shared" si="208"/>
        <v/>
      </c>
      <c r="HT25" s="517" t="str">
        <f t="shared" si="209"/>
        <v/>
      </c>
      <c r="HU25" s="517" t="str">
        <f t="shared" si="210"/>
        <v/>
      </c>
      <c r="HV25" s="517" t="str">
        <f t="shared" si="211"/>
        <v/>
      </c>
      <c r="HW25" s="517" t="str">
        <f t="shared" si="212"/>
        <v/>
      </c>
      <c r="HX25" s="517" t="str">
        <f t="shared" si="213"/>
        <v/>
      </c>
      <c r="HY25" s="517" t="str">
        <f t="shared" si="214"/>
        <v/>
      </c>
      <c r="HZ25" s="517" t="str">
        <f t="shared" si="215"/>
        <v/>
      </c>
      <c r="IA25" s="517" t="str">
        <f t="shared" si="216"/>
        <v/>
      </c>
      <c r="IB25" s="517" t="str">
        <f t="shared" si="217"/>
        <v/>
      </c>
      <c r="IC25" s="517" t="str">
        <f t="shared" si="218"/>
        <v/>
      </c>
      <c r="ID25" s="518" t="str">
        <f t="shared" si="219"/>
        <v/>
      </c>
      <c r="IE25" s="518" t="str">
        <f t="shared" si="220"/>
        <v/>
      </c>
      <c r="IF25" s="518" t="str">
        <f t="shared" si="221"/>
        <v/>
      </c>
      <c r="IG25" s="518" t="str">
        <f t="shared" si="222"/>
        <v/>
      </c>
      <c r="IH25" s="518" t="str">
        <f t="shared" si="223"/>
        <v/>
      </c>
      <c r="II25" s="507" t="str">
        <f t="shared" si="224"/>
        <v/>
      </c>
      <c r="IJ25" s="507" t="str">
        <f t="shared" si="225"/>
        <v/>
      </c>
      <c r="IK25" s="507" t="str">
        <f t="shared" si="226"/>
        <v/>
      </c>
      <c r="IL25" s="507" t="str">
        <f t="shared" si="227"/>
        <v/>
      </c>
      <c r="IM25" s="507" t="str">
        <f t="shared" si="228"/>
        <v/>
      </c>
      <c r="IN25" s="507" t="str">
        <f t="shared" si="229"/>
        <v/>
      </c>
      <c r="IO25" s="507" t="str">
        <f t="shared" si="230"/>
        <v/>
      </c>
      <c r="IP25" s="507" t="str">
        <f t="shared" si="231"/>
        <v/>
      </c>
      <c r="IQ25" s="507" t="str">
        <f t="shared" si="232"/>
        <v/>
      </c>
      <c r="IR25" s="507" t="str">
        <f t="shared" si="233"/>
        <v/>
      </c>
      <c r="IS25" s="507" t="str">
        <f t="shared" si="234"/>
        <v/>
      </c>
      <c r="IT25" s="507" t="str">
        <f t="shared" si="235"/>
        <v/>
      </c>
      <c r="IU25" s="507" t="str">
        <f t="shared" si="236"/>
        <v/>
      </c>
      <c r="IV25" s="507" t="str">
        <f t="shared" si="237"/>
        <v/>
      </c>
      <c r="IW25" s="507" t="str">
        <f t="shared" si="238"/>
        <v/>
      </c>
      <c r="IX25" s="507" t="str">
        <f t="shared" si="239"/>
        <v/>
      </c>
      <c r="IY25" s="507" t="str">
        <f t="shared" si="240"/>
        <v/>
      </c>
      <c r="IZ25" s="507" t="str">
        <f t="shared" si="241"/>
        <v/>
      </c>
      <c r="JA25" s="507" t="str">
        <f t="shared" si="242"/>
        <v/>
      </c>
      <c r="JB25" s="507" t="str">
        <f t="shared" si="243"/>
        <v/>
      </c>
      <c r="JC25" s="516">
        <f t="shared" si="244"/>
        <v>0</v>
      </c>
      <c r="JD25" s="516">
        <f t="shared" si="245"/>
        <v>0</v>
      </c>
      <c r="JE25" s="516">
        <f t="shared" si="246"/>
        <v>0</v>
      </c>
      <c r="JF25" s="516">
        <f t="shared" si="247"/>
        <v>0</v>
      </c>
      <c r="JG25" s="516">
        <f t="shared" si="248"/>
        <v>0</v>
      </c>
      <c r="JH25" s="516">
        <f t="shared" si="249"/>
        <v>0</v>
      </c>
      <c r="JI25" s="516">
        <f t="shared" si="250"/>
        <v>0</v>
      </c>
      <c r="JJ25" s="516">
        <f t="shared" si="251"/>
        <v>0</v>
      </c>
      <c r="JK25" s="516">
        <f t="shared" si="252"/>
        <v>0</v>
      </c>
      <c r="JL25" s="516">
        <f t="shared" si="253"/>
        <v>0</v>
      </c>
      <c r="JM25" s="516">
        <f t="shared" si="254"/>
        <v>0</v>
      </c>
      <c r="JN25" s="516">
        <f t="shared" si="255"/>
        <v>0</v>
      </c>
      <c r="JO25" s="516">
        <f t="shared" si="256"/>
        <v>0</v>
      </c>
      <c r="JP25" s="516">
        <f t="shared" si="257"/>
        <v>0</v>
      </c>
      <c r="JQ25" s="516">
        <f t="shared" si="258"/>
        <v>0</v>
      </c>
    </row>
    <row r="26" spans="1:277" ht="12" customHeight="1">
      <c r="A26" s="115" t="str">
        <f t="shared" si="0"/>
        <v/>
      </c>
      <c r="B26" s="2822" t="s">
        <v>1837</v>
      </c>
      <c r="C26" s="2823"/>
      <c r="D26" s="2824"/>
      <c r="E26" s="2825"/>
      <c r="F26" s="2825"/>
      <c r="G26" s="2825"/>
      <c r="H26" s="2825"/>
      <c r="I26" s="2825"/>
      <c r="J26" s="2826"/>
      <c r="K26" s="795">
        <f t="shared" si="1"/>
        <v>0</v>
      </c>
      <c r="L26" s="795">
        <f t="shared" si="2"/>
        <v>0</v>
      </c>
      <c r="M26" s="2827"/>
      <c r="N26" s="2827"/>
      <c r="O26" s="2827"/>
      <c r="P26" s="2828"/>
      <c r="Q26" s="1258" t="str">
        <f t="shared" si="3"/>
        <v/>
      </c>
      <c r="R26" s="1259" t="str">
        <f>IF(H26="","",IF(C26="Efficiency",Q26/($O$6*VLOOKUP(0,'DCA Underwriting Assumptions'!$J$132:$K$137,2,FALSE)),Q26/($O$6*VLOOKUP(C26,'DCA Underwriting Assumptions'!$J$132:$K$137,2,FALSE))))</f>
        <v/>
      </c>
      <c r="S26" s="2829"/>
      <c r="T26" s="2830"/>
      <c r="U26" s="2831"/>
      <c r="V26" s="2746"/>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0" t="str">
        <f t="shared" si="134"/>
        <v/>
      </c>
      <c r="EX26" s="517" t="str">
        <f t="shared" si="135"/>
        <v/>
      </c>
      <c r="EY26" s="517" t="str">
        <f t="shared" si="136"/>
        <v/>
      </c>
      <c r="EZ26" s="517" t="str">
        <f t="shared" si="137"/>
        <v/>
      </c>
      <c r="FA26" s="517" t="str">
        <f t="shared" si="138"/>
        <v/>
      </c>
      <c r="FB26" s="517" t="str">
        <f t="shared" si="139"/>
        <v/>
      </c>
      <c r="FC26" s="517" t="str">
        <f t="shared" si="140"/>
        <v/>
      </c>
      <c r="FD26" s="517" t="str">
        <f t="shared" si="141"/>
        <v/>
      </c>
      <c r="FE26" s="517" t="str">
        <f t="shared" si="142"/>
        <v/>
      </c>
      <c r="FF26" s="517" t="str">
        <f t="shared" si="143"/>
        <v/>
      </c>
      <c r="FG26" s="517" t="str">
        <f t="shared" si="144"/>
        <v/>
      </c>
      <c r="FH26" s="517" t="str">
        <f t="shared" si="145"/>
        <v/>
      </c>
      <c r="FI26" s="517" t="str">
        <f t="shared" si="146"/>
        <v/>
      </c>
      <c r="FJ26" s="517" t="str">
        <f t="shared" si="147"/>
        <v/>
      </c>
      <c r="FK26" s="517" t="str">
        <f t="shared" si="148"/>
        <v/>
      </c>
      <c r="FL26" s="517" t="str">
        <f t="shared" si="149"/>
        <v/>
      </c>
      <c r="FM26" s="517" t="str">
        <f t="shared" si="150"/>
        <v/>
      </c>
      <c r="FN26" s="517" t="str">
        <f t="shared" si="151"/>
        <v/>
      </c>
      <c r="FO26" s="517" t="str">
        <f t="shared" si="152"/>
        <v/>
      </c>
      <c r="FP26" s="517" t="str">
        <f t="shared" si="153"/>
        <v/>
      </c>
      <c r="FQ26" s="517" t="str">
        <f t="shared" si="154"/>
        <v/>
      </c>
      <c r="FR26" s="517" t="str">
        <f t="shared" si="155"/>
        <v/>
      </c>
      <c r="FS26" s="517" t="str">
        <f t="shared" si="156"/>
        <v/>
      </c>
      <c r="FT26" s="517" t="str">
        <f t="shared" si="157"/>
        <v/>
      </c>
      <c r="FU26" s="517" t="str">
        <f t="shared" si="158"/>
        <v/>
      </c>
      <c r="FV26" s="517" t="str">
        <f t="shared" si="159"/>
        <v/>
      </c>
      <c r="FW26" s="517" t="str">
        <f t="shared" si="160"/>
        <v/>
      </c>
      <c r="FX26" s="517" t="str">
        <f t="shared" si="161"/>
        <v/>
      </c>
      <c r="FY26" s="517" t="str">
        <f t="shared" si="162"/>
        <v/>
      </c>
      <c r="FZ26" s="517" t="str">
        <f t="shared" si="163"/>
        <v/>
      </c>
      <c r="GA26" s="517" t="str">
        <f t="shared" si="164"/>
        <v/>
      </c>
      <c r="GB26" s="517" t="str">
        <f t="shared" si="165"/>
        <v/>
      </c>
      <c r="GC26" s="517" t="str">
        <f t="shared" si="166"/>
        <v/>
      </c>
      <c r="GD26" s="517" t="str">
        <f t="shared" si="167"/>
        <v/>
      </c>
      <c r="GE26" s="517" t="str">
        <f t="shared" si="168"/>
        <v/>
      </c>
      <c r="GF26" s="517" t="str">
        <f t="shared" si="169"/>
        <v/>
      </c>
      <c r="GG26" s="517" t="str">
        <f t="shared" si="170"/>
        <v/>
      </c>
      <c r="GH26" s="517" t="str">
        <f t="shared" si="171"/>
        <v/>
      </c>
      <c r="GI26" s="517" t="str">
        <f t="shared" si="172"/>
        <v/>
      </c>
      <c r="GJ26" s="517" t="str">
        <f t="shared" si="173"/>
        <v/>
      </c>
      <c r="GK26" s="517" t="str">
        <f t="shared" si="174"/>
        <v/>
      </c>
      <c r="GL26" s="517" t="str">
        <f t="shared" si="175"/>
        <v/>
      </c>
      <c r="GM26" s="517" t="str">
        <f t="shared" si="176"/>
        <v/>
      </c>
      <c r="GN26" s="517" t="str">
        <f t="shared" si="177"/>
        <v/>
      </c>
      <c r="GO26" s="517" t="str">
        <f t="shared" si="178"/>
        <v/>
      </c>
      <c r="GP26" s="517" t="str">
        <f t="shared" si="179"/>
        <v/>
      </c>
      <c r="GQ26" s="517" t="str">
        <f t="shared" si="180"/>
        <v/>
      </c>
      <c r="GR26" s="517" t="str">
        <f t="shared" si="181"/>
        <v/>
      </c>
      <c r="GS26" s="517" t="str">
        <f t="shared" si="182"/>
        <v/>
      </c>
      <c r="GT26" s="517" t="str">
        <f t="shared" si="183"/>
        <v/>
      </c>
      <c r="GU26" s="517" t="str">
        <f t="shared" si="184"/>
        <v/>
      </c>
      <c r="GV26" s="517" t="str">
        <f t="shared" si="185"/>
        <v/>
      </c>
      <c r="GW26" s="517" t="str">
        <f t="shared" si="186"/>
        <v/>
      </c>
      <c r="GX26" s="517" t="str">
        <f t="shared" si="187"/>
        <v/>
      </c>
      <c r="GY26" s="517" t="str">
        <f t="shared" si="188"/>
        <v/>
      </c>
      <c r="GZ26" s="517" t="str">
        <f t="shared" si="189"/>
        <v/>
      </c>
      <c r="HA26" s="517" t="str">
        <f t="shared" si="190"/>
        <v/>
      </c>
      <c r="HB26" s="517" t="str">
        <f t="shared" si="191"/>
        <v/>
      </c>
      <c r="HC26" s="517" t="str">
        <f t="shared" si="192"/>
        <v/>
      </c>
      <c r="HD26" s="517" t="str">
        <f t="shared" si="193"/>
        <v/>
      </c>
      <c r="HE26" s="517" t="str">
        <f t="shared" si="194"/>
        <v/>
      </c>
      <c r="HF26" s="517" t="str">
        <f t="shared" si="195"/>
        <v/>
      </c>
      <c r="HG26" s="517" t="str">
        <f t="shared" si="196"/>
        <v/>
      </c>
      <c r="HH26" s="517" t="str">
        <f t="shared" si="197"/>
        <v/>
      </c>
      <c r="HI26" s="517" t="str">
        <f t="shared" si="198"/>
        <v/>
      </c>
      <c r="HJ26" s="517" t="str">
        <f t="shared" si="199"/>
        <v/>
      </c>
      <c r="HK26" s="517" t="str">
        <f t="shared" si="200"/>
        <v/>
      </c>
      <c r="HL26" s="517" t="str">
        <f t="shared" si="201"/>
        <v/>
      </c>
      <c r="HM26" s="517" t="str">
        <f t="shared" si="202"/>
        <v/>
      </c>
      <c r="HN26" s="517" t="str">
        <f t="shared" si="203"/>
        <v/>
      </c>
      <c r="HO26" s="517" t="str">
        <f t="shared" si="204"/>
        <v/>
      </c>
      <c r="HP26" s="517" t="str">
        <f t="shared" si="205"/>
        <v/>
      </c>
      <c r="HQ26" s="517" t="str">
        <f t="shared" si="206"/>
        <v/>
      </c>
      <c r="HR26" s="517" t="str">
        <f t="shared" si="207"/>
        <v/>
      </c>
      <c r="HS26" s="517" t="str">
        <f t="shared" si="208"/>
        <v/>
      </c>
      <c r="HT26" s="517" t="str">
        <f t="shared" si="209"/>
        <v/>
      </c>
      <c r="HU26" s="517" t="str">
        <f t="shared" si="210"/>
        <v/>
      </c>
      <c r="HV26" s="517" t="str">
        <f t="shared" si="211"/>
        <v/>
      </c>
      <c r="HW26" s="517" t="str">
        <f t="shared" si="212"/>
        <v/>
      </c>
      <c r="HX26" s="517" t="str">
        <f t="shared" si="213"/>
        <v/>
      </c>
      <c r="HY26" s="517" t="str">
        <f t="shared" si="214"/>
        <v/>
      </c>
      <c r="HZ26" s="517" t="str">
        <f t="shared" si="215"/>
        <v/>
      </c>
      <c r="IA26" s="517" t="str">
        <f t="shared" si="216"/>
        <v/>
      </c>
      <c r="IB26" s="517" t="str">
        <f t="shared" si="217"/>
        <v/>
      </c>
      <c r="IC26" s="517" t="str">
        <f t="shared" si="218"/>
        <v/>
      </c>
      <c r="ID26" s="518" t="str">
        <f t="shared" si="219"/>
        <v/>
      </c>
      <c r="IE26" s="518" t="str">
        <f t="shared" si="220"/>
        <v/>
      </c>
      <c r="IF26" s="518" t="str">
        <f t="shared" si="221"/>
        <v/>
      </c>
      <c r="IG26" s="518" t="str">
        <f t="shared" si="222"/>
        <v/>
      </c>
      <c r="IH26" s="518" t="str">
        <f t="shared" si="223"/>
        <v/>
      </c>
      <c r="II26" s="507" t="str">
        <f t="shared" si="224"/>
        <v/>
      </c>
      <c r="IJ26" s="507" t="str">
        <f t="shared" si="225"/>
        <v/>
      </c>
      <c r="IK26" s="507" t="str">
        <f t="shared" si="226"/>
        <v/>
      </c>
      <c r="IL26" s="507" t="str">
        <f t="shared" si="227"/>
        <v/>
      </c>
      <c r="IM26" s="507" t="str">
        <f t="shared" si="228"/>
        <v/>
      </c>
      <c r="IN26" s="507" t="str">
        <f t="shared" si="229"/>
        <v/>
      </c>
      <c r="IO26" s="507" t="str">
        <f t="shared" si="230"/>
        <v/>
      </c>
      <c r="IP26" s="507" t="str">
        <f t="shared" si="231"/>
        <v/>
      </c>
      <c r="IQ26" s="507" t="str">
        <f t="shared" si="232"/>
        <v/>
      </c>
      <c r="IR26" s="507" t="str">
        <f t="shared" si="233"/>
        <v/>
      </c>
      <c r="IS26" s="507" t="str">
        <f t="shared" si="234"/>
        <v/>
      </c>
      <c r="IT26" s="507" t="str">
        <f t="shared" si="235"/>
        <v/>
      </c>
      <c r="IU26" s="507" t="str">
        <f t="shared" si="236"/>
        <v/>
      </c>
      <c r="IV26" s="507" t="str">
        <f t="shared" si="237"/>
        <v/>
      </c>
      <c r="IW26" s="507" t="str">
        <f t="shared" si="238"/>
        <v/>
      </c>
      <c r="IX26" s="507" t="str">
        <f t="shared" si="239"/>
        <v/>
      </c>
      <c r="IY26" s="507" t="str">
        <f t="shared" si="240"/>
        <v/>
      </c>
      <c r="IZ26" s="507" t="str">
        <f t="shared" si="241"/>
        <v/>
      </c>
      <c r="JA26" s="507" t="str">
        <f t="shared" si="242"/>
        <v/>
      </c>
      <c r="JB26" s="507" t="str">
        <f t="shared" si="243"/>
        <v/>
      </c>
      <c r="JC26" s="516">
        <f t="shared" si="244"/>
        <v>0</v>
      </c>
      <c r="JD26" s="516">
        <f t="shared" si="245"/>
        <v>0</v>
      </c>
      <c r="JE26" s="516">
        <f t="shared" si="246"/>
        <v>0</v>
      </c>
      <c r="JF26" s="516">
        <f t="shared" si="247"/>
        <v>0</v>
      </c>
      <c r="JG26" s="516">
        <f t="shared" si="248"/>
        <v>0</v>
      </c>
      <c r="JH26" s="516">
        <f t="shared" si="249"/>
        <v>0</v>
      </c>
      <c r="JI26" s="516">
        <f t="shared" si="250"/>
        <v>0</v>
      </c>
      <c r="JJ26" s="516">
        <f t="shared" si="251"/>
        <v>0</v>
      </c>
      <c r="JK26" s="516">
        <f t="shared" si="252"/>
        <v>0</v>
      </c>
      <c r="JL26" s="516">
        <f t="shared" si="253"/>
        <v>0</v>
      </c>
      <c r="JM26" s="516">
        <f t="shared" si="254"/>
        <v>0</v>
      </c>
      <c r="JN26" s="516">
        <f t="shared" si="255"/>
        <v>0</v>
      </c>
      <c r="JO26" s="516">
        <f t="shared" si="256"/>
        <v>0</v>
      </c>
      <c r="JP26" s="516">
        <f t="shared" si="257"/>
        <v>0</v>
      </c>
      <c r="JQ26" s="516">
        <f t="shared" si="258"/>
        <v>0</v>
      </c>
    </row>
    <row r="27" spans="1:277" ht="12" customHeight="1">
      <c r="A27" s="115" t="str">
        <f t="shared" si="0"/>
        <v/>
      </c>
      <c r="B27" s="2822" t="s">
        <v>1837</v>
      </c>
      <c r="C27" s="2823"/>
      <c r="D27" s="2824"/>
      <c r="E27" s="2825"/>
      <c r="F27" s="2825"/>
      <c r="G27" s="2825"/>
      <c r="H27" s="2825"/>
      <c r="I27" s="2825"/>
      <c r="J27" s="2826"/>
      <c r="K27" s="795">
        <f t="shared" si="1"/>
        <v>0</v>
      </c>
      <c r="L27" s="795">
        <f t="shared" si="2"/>
        <v>0</v>
      </c>
      <c r="M27" s="2827"/>
      <c r="N27" s="2827"/>
      <c r="O27" s="2827"/>
      <c r="P27" s="2828"/>
      <c r="Q27" s="1258" t="str">
        <f t="shared" si="3"/>
        <v/>
      </c>
      <c r="R27" s="1259" t="str">
        <f>IF(H27="","",IF(C27="Efficiency",Q27/($O$6*VLOOKUP(0,'DCA Underwriting Assumptions'!$J$132:$K$137,2,FALSE)),Q27/($O$6*VLOOKUP(C27,'DCA Underwriting Assumptions'!$J$132:$K$137,2,FALSE))))</f>
        <v/>
      </c>
      <c r="S27" s="2829"/>
      <c r="T27" s="2830"/>
      <c r="U27" s="2831"/>
      <c r="V27" s="2746"/>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0" t="str">
        <f t="shared" si="134"/>
        <v/>
      </c>
      <c r="EX27" s="517" t="str">
        <f t="shared" si="135"/>
        <v/>
      </c>
      <c r="EY27" s="517" t="str">
        <f t="shared" si="136"/>
        <v/>
      </c>
      <c r="EZ27" s="517" t="str">
        <f t="shared" si="137"/>
        <v/>
      </c>
      <c r="FA27" s="517" t="str">
        <f t="shared" si="138"/>
        <v/>
      </c>
      <c r="FB27" s="517" t="str">
        <f t="shared" si="139"/>
        <v/>
      </c>
      <c r="FC27" s="517" t="str">
        <f t="shared" si="140"/>
        <v/>
      </c>
      <c r="FD27" s="517" t="str">
        <f t="shared" si="141"/>
        <v/>
      </c>
      <c r="FE27" s="517" t="str">
        <f t="shared" si="142"/>
        <v/>
      </c>
      <c r="FF27" s="517" t="str">
        <f t="shared" si="143"/>
        <v/>
      </c>
      <c r="FG27" s="517" t="str">
        <f t="shared" si="144"/>
        <v/>
      </c>
      <c r="FH27" s="517" t="str">
        <f t="shared" si="145"/>
        <v/>
      </c>
      <c r="FI27" s="517" t="str">
        <f t="shared" si="146"/>
        <v/>
      </c>
      <c r="FJ27" s="517" t="str">
        <f t="shared" si="147"/>
        <v/>
      </c>
      <c r="FK27" s="517" t="str">
        <f t="shared" si="148"/>
        <v/>
      </c>
      <c r="FL27" s="517" t="str">
        <f t="shared" si="149"/>
        <v/>
      </c>
      <c r="FM27" s="517" t="str">
        <f t="shared" si="150"/>
        <v/>
      </c>
      <c r="FN27" s="517" t="str">
        <f t="shared" si="151"/>
        <v/>
      </c>
      <c r="FO27" s="517" t="str">
        <f t="shared" si="152"/>
        <v/>
      </c>
      <c r="FP27" s="517" t="str">
        <f t="shared" si="153"/>
        <v/>
      </c>
      <c r="FQ27" s="517" t="str">
        <f t="shared" si="154"/>
        <v/>
      </c>
      <c r="FR27" s="517" t="str">
        <f t="shared" si="155"/>
        <v/>
      </c>
      <c r="FS27" s="517" t="str">
        <f t="shared" si="156"/>
        <v/>
      </c>
      <c r="FT27" s="517" t="str">
        <f t="shared" si="157"/>
        <v/>
      </c>
      <c r="FU27" s="517" t="str">
        <f t="shared" si="158"/>
        <v/>
      </c>
      <c r="FV27" s="517" t="str">
        <f t="shared" si="159"/>
        <v/>
      </c>
      <c r="FW27" s="517" t="str">
        <f t="shared" si="160"/>
        <v/>
      </c>
      <c r="FX27" s="517" t="str">
        <f t="shared" si="161"/>
        <v/>
      </c>
      <c r="FY27" s="517" t="str">
        <f t="shared" si="162"/>
        <v/>
      </c>
      <c r="FZ27" s="517" t="str">
        <f t="shared" si="163"/>
        <v/>
      </c>
      <c r="GA27" s="517" t="str">
        <f t="shared" si="164"/>
        <v/>
      </c>
      <c r="GB27" s="517" t="str">
        <f t="shared" si="165"/>
        <v/>
      </c>
      <c r="GC27" s="517" t="str">
        <f t="shared" si="166"/>
        <v/>
      </c>
      <c r="GD27" s="517" t="str">
        <f t="shared" si="167"/>
        <v/>
      </c>
      <c r="GE27" s="517" t="str">
        <f t="shared" si="168"/>
        <v/>
      </c>
      <c r="GF27" s="517" t="str">
        <f t="shared" si="169"/>
        <v/>
      </c>
      <c r="GG27" s="517" t="str">
        <f t="shared" si="170"/>
        <v/>
      </c>
      <c r="GH27" s="517" t="str">
        <f t="shared" si="171"/>
        <v/>
      </c>
      <c r="GI27" s="517" t="str">
        <f t="shared" si="172"/>
        <v/>
      </c>
      <c r="GJ27" s="517" t="str">
        <f t="shared" si="173"/>
        <v/>
      </c>
      <c r="GK27" s="517" t="str">
        <f t="shared" si="174"/>
        <v/>
      </c>
      <c r="GL27" s="517" t="str">
        <f t="shared" si="175"/>
        <v/>
      </c>
      <c r="GM27" s="517" t="str">
        <f t="shared" si="176"/>
        <v/>
      </c>
      <c r="GN27" s="517" t="str">
        <f t="shared" si="177"/>
        <v/>
      </c>
      <c r="GO27" s="517" t="str">
        <f t="shared" si="178"/>
        <v/>
      </c>
      <c r="GP27" s="517" t="str">
        <f t="shared" si="179"/>
        <v/>
      </c>
      <c r="GQ27" s="517" t="str">
        <f t="shared" si="180"/>
        <v/>
      </c>
      <c r="GR27" s="517" t="str">
        <f t="shared" si="181"/>
        <v/>
      </c>
      <c r="GS27" s="517" t="str">
        <f t="shared" si="182"/>
        <v/>
      </c>
      <c r="GT27" s="517" t="str">
        <f t="shared" si="183"/>
        <v/>
      </c>
      <c r="GU27" s="517" t="str">
        <f t="shared" si="184"/>
        <v/>
      </c>
      <c r="GV27" s="517" t="str">
        <f t="shared" si="185"/>
        <v/>
      </c>
      <c r="GW27" s="517" t="str">
        <f t="shared" si="186"/>
        <v/>
      </c>
      <c r="GX27" s="517" t="str">
        <f t="shared" si="187"/>
        <v/>
      </c>
      <c r="GY27" s="517" t="str">
        <f t="shared" si="188"/>
        <v/>
      </c>
      <c r="GZ27" s="517" t="str">
        <f t="shared" si="189"/>
        <v/>
      </c>
      <c r="HA27" s="517" t="str">
        <f t="shared" si="190"/>
        <v/>
      </c>
      <c r="HB27" s="517" t="str">
        <f t="shared" si="191"/>
        <v/>
      </c>
      <c r="HC27" s="517" t="str">
        <f t="shared" si="192"/>
        <v/>
      </c>
      <c r="HD27" s="517" t="str">
        <f t="shared" si="193"/>
        <v/>
      </c>
      <c r="HE27" s="517" t="str">
        <f t="shared" si="194"/>
        <v/>
      </c>
      <c r="HF27" s="517" t="str">
        <f t="shared" si="195"/>
        <v/>
      </c>
      <c r="HG27" s="517" t="str">
        <f t="shared" si="196"/>
        <v/>
      </c>
      <c r="HH27" s="517" t="str">
        <f t="shared" si="197"/>
        <v/>
      </c>
      <c r="HI27" s="517" t="str">
        <f t="shared" si="198"/>
        <v/>
      </c>
      <c r="HJ27" s="517" t="str">
        <f t="shared" si="199"/>
        <v/>
      </c>
      <c r="HK27" s="517" t="str">
        <f t="shared" si="200"/>
        <v/>
      </c>
      <c r="HL27" s="517" t="str">
        <f t="shared" si="201"/>
        <v/>
      </c>
      <c r="HM27" s="517" t="str">
        <f t="shared" si="202"/>
        <v/>
      </c>
      <c r="HN27" s="517" t="str">
        <f t="shared" si="203"/>
        <v/>
      </c>
      <c r="HO27" s="517" t="str">
        <f t="shared" si="204"/>
        <v/>
      </c>
      <c r="HP27" s="517" t="str">
        <f t="shared" si="205"/>
        <v/>
      </c>
      <c r="HQ27" s="517" t="str">
        <f t="shared" si="206"/>
        <v/>
      </c>
      <c r="HR27" s="517" t="str">
        <f t="shared" si="207"/>
        <v/>
      </c>
      <c r="HS27" s="517" t="str">
        <f t="shared" si="208"/>
        <v/>
      </c>
      <c r="HT27" s="517" t="str">
        <f t="shared" si="209"/>
        <v/>
      </c>
      <c r="HU27" s="517" t="str">
        <f t="shared" si="210"/>
        <v/>
      </c>
      <c r="HV27" s="517" t="str">
        <f t="shared" si="211"/>
        <v/>
      </c>
      <c r="HW27" s="517" t="str">
        <f t="shared" si="212"/>
        <v/>
      </c>
      <c r="HX27" s="517" t="str">
        <f t="shared" si="213"/>
        <v/>
      </c>
      <c r="HY27" s="517" t="str">
        <f t="shared" si="214"/>
        <v/>
      </c>
      <c r="HZ27" s="517" t="str">
        <f t="shared" si="215"/>
        <v/>
      </c>
      <c r="IA27" s="517" t="str">
        <f t="shared" si="216"/>
        <v/>
      </c>
      <c r="IB27" s="517" t="str">
        <f t="shared" si="217"/>
        <v/>
      </c>
      <c r="IC27" s="517" t="str">
        <f t="shared" si="218"/>
        <v/>
      </c>
      <c r="ID27" s="518" t="str">
        <f t="shared" si="219"/>
        <v/>
      </c>
      <c r="IE27" s="518" t="str">
        <f t="shared" si="220"/>
        <v/>
      </c>
      <c r="IF27" s="518" t="str">
        <f t="shared" si="221"/>
        <v/>
      </c>
      <c r="IG27" s="518" t="str">
        <f t="shared" si="222"/>
        <v/>
      </c>
      <c r="IH27" s="518" t="str">
        <f t="shared" si="223"/>
        <v/>
      </c>
      <c r="II27" s="507" t="str">
        <f t="shared" si="224"/>
        <v/>
      </c>
      <c r="IJ27" s="507" t="str">
        <f t="shared" si="225"/>
        <v/>
      </c>
      <c r="IK27" s="507" t="str">
        <f t="shared" si="226"/>
        <v/>
      </c>
      <c r="IL27" s="507" t="str">
        <f t="shared" si="227"/>
        <v/>
      </c>
      <c r="IM27" s="507" t="str">
        <f t="shared" si="228"/>
        <v/>
      </c>
      <c r="IN27" s="507" t="str">
        <f t="shared" si="229"/>
        <v/>
      </c>
      <c r="IO27" s="507" t="str">
        <f t="shared" si="230"/>
        <v/>
      </c>
      <c r="IP27" s="507" t="str">
        <f t="shared" si="231"/>
        <v/>
      </c>
      <c r="IQ27" s="507" t="str">
        <f t="shared" si="232"/>
        <v/>
      </c>
      <c r="IR27" s="507" t="str">
        <f t="shared" si="233"/>
        <v/>
      </c>
      <c r="IS27" s="507" t="str">
        <f t="shared" si="234"/>
        <v/>
      </c>
      <c r="IT27" s="507" t="str">
        <f t="shared" si="235"/>
        <v/>
      </c>
      <c r="IU27" s="507" t="str">
        <f t="shared" si="236"/>
        <v/>
      </c>
      <c r="IV27" s="507" t="str">
        <f t="shared" si="237"/>
        <v/>
      </c>
      <c r="IW27" s="507" t="str">
        <f t="shared" si="238"/>
        <v/>
      </c>
      <c r="IX27" s="507" t="str">
        <f t="shared" si="239"/>
        <v/>
      </c>
      <c r="IY27" s="507" t="str">
        <f t="shared" si="240"/>
        <v/>
      </c>
      <c r="IZ27" s="507" t="str">
        <f t="shared" si="241"/>
        <v/>
      </c>
      <c r="JA27" s="507" t="str">
        <f t="shared" si="242"/>
        <v/>
      </c>
      <c r="JB27" s="507" t="str">
        <f t="shared" si="243"/>
        <v/>
      </c>
      <c r="JC27" s="516">
        <f t="shared" si="244"/>
        <v>0</v>
      </c>
      <c r="JD27" s="516">
        <f t="shared" si="245"/>
        <v>0</v>
      </c>
      <c r="JE27" s="516">
        <f t="shared" si="246"/>
        <v>0</v>
      </c>
      <c r="JF27" s="516">
        <f t="shared" si="247"/>
        <v>0</v>
      </c>
      <c r="JG27" s="516">
        <f t="shared" si="248"/>
        <v>0</v>
      </c>
      <c r="JH27" s="516">
        <f t="shared" si="249"/>
        <v>0</v>
      </c>
      <c r="JI27" s="516">
        <f t="shared" si="250"/>
        <v>0</v>
      </c>
      <c r="JJ27" s="516">
        <f t="shared" si="251"/>
        <v>0</v>
      </c>
      <c r="JK27" s="516">
        <f t="shared" si="252"/>
        <v>0</v>
      </c>
      <c r="JL27" s="516">
        <f t="shared" si="253"/>
        <v>0</v>
      </c>
      <c r="JM27" s="516">
        <f t="shared" si="254"/>
        <v>0</v>
      </c>
      <c r="JN27" s="516">
        <f t="shared" si="255"/>
        <v>0</v>
      </c>
      <c r="JO27" s="516">
        <f t="shared" si="256"/>
        <v>0</v>
      </c>
      <c r="JP27" s="516">
        <f t="shared" si="257"/>
        <v>0</v>
      </c>
      <c r="JQ27" s="516">
        <f t="shared" si="258"/>
        <v>0</v>
      </c>
    </row>
    <row r="28" spans="1:277" ht="12" customHeight="1">
      <c r="A28" s="115" t="str">
        <f t="shared" si="0"/>
        <v/>
      </c>
      <c r="B28" s="2822" t="s">
        <v>1837</v>
      </c>
      <c r="C28" s="2823"/>
      <c r="D28" s="2824"/>
      <c r="E28" s="2825"/>
      <c r="F28" s="2825"/>
      <c r="G28" s="2825"/>
      <c r="H28" s="2825"/>
      <c r="I28" s="2825"/>
      <c r="J28" s="2826"/>
      <c r="K28" s="795">
        <f t="shared" si="1"/>
        <v>0</v>
      </c>
      <c r="L28" s="795">
        <f t="shared" si="2"/>
        <v>0</v>
      </c>
      <c r="M28" s="2827"/>
      <c r="N28" s="2827"/>
      <c r="O28" s="2827"/>
      <c r="P28" s="2828"/>
      <c r="Q28" s="1258" t="str">
        <f t="shared" si="3"/>
        <v/>
      </c>
      <c r="R28" s="1259" t="str">
        <f>IF(H28="","",IF(C28="Efficiency",Q28/($O$6*VLOOKUP(0,'DCA Underwriting Assumptions'!$J$132:$K$137,2,FALSE)),Q28/($O$6*VLOOKUP(C28,'DCA Underwriting Assumptions'!$J$132:$K$137,2,FALSE))))</f>
        <v/>
      </c>
      <c r="S28" s="2829"/>
      <c r="T28" s="2830"/>
      <c r="U28" s="2831"/>
      <c r="V28" s="2746"/>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0" t="str">
        <f t="shared" si="134"/>
        <v/>
      </c>
      <c r="EX28" s="517" t="str">
        <f t="shared" si="135"/>
        <v/>
      </c>
      <c r="EY28" s="517" t="str">
        <f t="shared" si="136"/>
        <v/>
      </c>
      <c r="EZ28" s="517" t="str">
        <f t="shared" si="137"/>
        <v/>
      </c>
      <c r="FA28" s="517" t="str">
        <f t="shared" si="138"/>
        <v/>
      </c>
      <c r="FB28" s="517" t="str">
        <f t="shared" si="139"/>
        <v/>
      </c>
      <c r="FC28" s="517" t="str">
        <f t="shared" si="140"/>
        <v/>
      </c>
      <c r="FD28" s="517" t="str">
        <f t="shared" si="141"/>
        <v/>
      </c>
      <c r="FE28" s="517" t="str">
        <f t="shared" si="142"/>
        <v/>
      </c>
      <c r="FF28" s="517" t="str">
        <f t="shared" si="143"/>
        <v/>
      </c>
      <c r="FG28" s="517" t="str">
        <f t="shared" si="144"/>
        <v/>
      </c>
      <c r="FH28" s="517" t="str">
        <f t="shared" si="145"/>
        <v/>
      </c>
      <c r="FI28" s="517" t="str">
        <f t="shared" si="146"/>
        <v/>
      </c>
      <c r="FJ28" s="517" t="str">
        <f t="shared" si="147"/>
        <v/>
      </c>
      <c r="FK28" s="517" t="str">
        <f t="shared" si="148"/>
        <v/>
      </c>
      <c r="FL28" s="517" t="str">
        <f t="shared" si="149"/>
        <v/>
      </c>
      <c r="FM28" s="517" t="str">
        <f t="shared" si="150"/>
        <v/>
      </c>
      <c r="FN28" s="517" t="str">
        <f t="shared" si="151"/>
        <v/>
      </c>
      <c r="FO28" s="517" t="str">
        <f t="shared" si="152"/>
        <v/>
      </c>
      <c r="FP28" s="517" t="str">
        <f t="shared" si="153"/>
        <v/>
      </c>
      <c r="FQ28" s="517" t="str">
        <f t="shared" si="154"/>
        <v/>
      </c>
      <c r="FR28" s="517" t="str">
        <f t="shared" si="155"/>
        <v/>
      </c>
      <c r="FS28" s="517" t="str">
        <f t="shared" si="156"/>
        <v/>
      </c>
      <c r="FT28" s="517" t="str">
        <f t="shared" si="157"/>
        <v/>
      </c>
      <c r="FU28" s="517" t="str">
        <f t="shared" si="158"/>
        <v/>
      </c>
      <c r="FV28" s="517" t="str">
        <f t="shared" si="159"/>
        <v/>
      </c>
      <c r="FW28" s="517" t="str">
        <f t="shared" si="160"/>
        <v/>
      </c>
      <c r="FX28" s="517" t="str">
        <f t="shared" si="161"/>
        <v/>
      </c>
      <c r="FY28" s="517" t="str">
        <f t="shared" si="162"/>
        <v/>
      </c>
      <c r="FZ28" s="517" t="str">
        <f t="shared" si="163"/>
        <v/>
      </c>
      <c r="GA28" s="517" t="str">
        <f t="shared" si="164"/>
        <v/>
      </c>
      <c r="GB28" s="517" t="str">
        <f t="shared" si="165"/>
        <v/>
      </c>
      <c r="GC28" s="517" t="str">
        <f t="shared" si="166"/>
        <v/>
      </c>
      <c r="GD28" s="517" t="str">
        <f t="shared" si="167"/>
        <v/>
      </c>
      <c r="GE28" s="517" t="str">
        <f t="shared" si="168"/>
        <v/>
      </c>
      <c r="GF28" s="517" t="str">
        <f t="shared" si="169"/>
        <v/>
      </c>
      <c r="GG28" s="517" t="str">
        <f t="shared" si="170"/>
        <v/>
      </c>
      <c r="GH28" s="517" t="str">
        <f t="shared" si="171"/>
        <v/>
      </c>
      <c r="GI28" s="517" t="str">
        <f t="shared" si="172"/>
        <v/>
      </c>
      <c r="GJ28" s="517" t="str">
        <f t="shared" si="173"/>
        <v/>
      </c>
      <c r="GK28" s="517" t="str">
        <f t="shared" si="174"/>
        <v/>
      </c>
      <c r="GL28" s="517" t="str">
        <f t="shared" si="175"/>
        <v/>
      </c>
      <c r="GM28" s="517" t="str">
        <f t="shared" si="176"/>
        <v/>
      </c>
      <c r="GN28" s="517" t="str">
        <f t="shared" si="177"/>
        <v/>
      </c>
      <c r="GO28" s="517" t="str">
        <f t="shared" si="178"/>
        <v/>
      </c>
      <c r="GP28" s="517" t="str">
        <f t="shared" si="179"/>
        <v/>
      </c>
      <c r="GQ28" s="517" t="str">
        <f t="shared" si="180"/>
        <v/>
      </c>
      <c r="GR28" s="517" t="str">
        <f t="shared" si="181"/>
        <v/>
      </c>
      <c r="GS28" s="517" t="str">
        <f t="shared" si="182"/>
        <v/>
      </c>
      <c r="GT28" s="517" t="str">
        <f t="shared" si="183"/>
        <v/>
      </c>
      <c r="GU28" s="517" t="str">
        <f t="shared" si="184"/>
        <v/>
      </c>
      <c r="GV28" s="517" t="str">
        <f t="shared" si="185"/>
        <v/>
      </c>
      <c r="GW28" s="517" t="str">
        <f t="shared" si="186"/>
        <v/>
      </c>
      <c r="GX28" s="517" t="str">
        <f t="shared" si="187"/>
        <v/>
      </c>
      <c r="GY28" s="517" t="str">
        <f t="shared" si="188"/>
        <v/>
      </c>
      <c r="GZ28" s="517" t="str">
        <f t="shared" si="189"/>
        <v/>
      </c>
      <c r="HA28" s="517" t="str">
        <f t="shared" si="190"/>
        <v/>
      </c>
      <c r="HB28" s="517" t="str">
        <f t="shared" si="191"/>
        <v/>
      </c>
      <c r="HC28" s="517" t="str">
        <f t="shared" si="192"/>
        <v/>
      </c>
      <c r="HD28" s="517" t="str">
        <f t="shared" si="193"/>
        <v/>
      </c>
      <c r="HE28" s="517" t="str">
        <f t="shared" si="194"/>
        <v/>
      </c>
      <c r="HF28" s="517" t="str">
        <f t="shared" si="195"/>
        <v/>
      </c>
      <c r="HG28" s="517" t="str">
        <f t="shared" si="196"/>
        <v/>
      </c>
      <c r="HH28" s="517" t="str">
        <f t="shared" si="197"/>
        <v/>
      </c>
      <c r="HI28" s="517" t="str">
        <f t="shared" si="198"/>
        <v/>
      </c>
      <c r="HJ28" s="517" t="str">
        <f t="shared" si="199"/>
        <v/>
      </c>
      <c r="HK28" s="517" t="str">
        <f t="shared" si="200"/>
        <v/>
      </c>
      <c r="HL28" s="517" t="str">
        <f t="shared" si="201"/>
        <v/>
      </c>
      <c r="HM28" s="517" t="str">
        <f t="shared" si="202"/>
        <v/>
      </c>
      <c r="HN28" s="517" t="str">
        <f t="shared" si="203"/>
        <v/>
      </c>
      <c r="HO28" s="517" t="str">
        <f t="shared" si="204"/>
        <v/>
      </c>
      <c r="HP28" s="517" t="str">
        <f t="shared" si="205"/>
        <v/>
      </c>
      <c r="HQ28" s="517" t="str">
        <f t="shared" si="206"/>
        <v/>
      </c>
      <c r="HR28" s="517" t="str">
        <f t="shared" si="207"/>
        <v/>
      </c>
      <c r="HS28" s="517" t="str">
        <f t="shared" si="208"/>
        <v/>
      </c>
      <c r="HT28" s="517" t="str">
        <f t="shared" si="209"/>
        <v/>
      </c>
      <c r="HU28" s="517" t="str">
        <f t="shared" si="210"/>
        <v/>
      </c>
      <c r="HV28" s="517" t="str">
        <f t="shared" si="211"/>
        <v/>
      </c>
      <c r="HW28" s="517" t="str">
        <f t="shared" si="212"/>
        <v/>
      </c>
      <c r="HX28" s="517" t="str">
        <f t="shared" si="213"/>
        <v/>
      </c>
      <c r="HY28" s="517" t="str">
        <f t="shared" si="214"/>
        <v/>
      </c>
      <c r="HZ28" s="517" t="str">
        <f t="shared" si="215"/>
        <v/>
      </c>
      <c r="IA28" s="517" t="str">
        <f t="shared" si="216"/>
        <v/>
      </c>
      <c r="IB28" s="517" t="str">
        <f t="shared" si="217"/>
        <v/>
      </c>
      <c r="IC28" s="517" t="str">
        <f t="shared" si="218"/>
        <v/>
      </c>
      <c r="ID28" s="518" t="str">
        <f t="shared" si="219"/>
        <v/>
      </c>
      <c r="IE28" s="518" t="str">
        <f t="shared" si="220"/>
        <v/>
      </c>
      <c r="IF28" s="518" t="str">
        <f t="shared" si="221"/>
        <v/>
      </c>
      <c r="IG28" s="518" t="str">
        <f t="shared" si="222"/>
        <v/>
      </c>
      <c r="IH28" s="518" t="str">
        <f t="shared" si="223"/>
        <v/>
      </c>
      <c r="II28" s="507" t="str">
        <f t="shared" si="224"/>
        <v/>
      </c>
      <c r="IJ28" s="507" t="str">
        <f t="shared" si="225"/>
        <v/>
      </c>
      <c r="IK28" s="507" t="str">
        <f t="shared" si="226"/>
        <v/>
      </c>
      <c r="IL28" s="507" t="str">
        <f t="shared" si="227"/>
        <v/>
      </c>
      <c r="IM28" s="507" t="str">
        <f t="shared" si="228"/>
        <v/>
      </c>
      <c r="IN28" s="507" t="str">
        <f t="shared" si="229"/>
        <v/>
      </c>
      <c r="IO28" s="507" t="str">
        <f t="shared" si="230"/>
        <v/>
      </c>
      <c r="IP28" s="507" t="str">
        <f t="shared" si="231"/>
        <v/>
      </c>
      <c r="IQ28" s="507" t="str">
        <f t="shared" si="232"/>
        <v/>
      </c>
      <c r="IR28" s="507" t="str">
        <f t="shared" si="233"/>
        <v/>
      </c>
      <c r="IS28" s="507" t="str">
        <f t="shared" si="234"/>
        <v/>
      </c>
      <c r="IT28" s="507" t="str">
        <f t="shared" si="235"/>
        <v/>
      </c>
      <c r="IU28" s="507" t="str">
        <f t="shared" si="236"/>
        <v/>
      </c>
      <c r="IV28" s="507" t="str">
        <f t="shared" si="237"/>
        <v/>
      </c>
      <c r="IW28" s="507" t="str">
        <f t="shared" si="238"/>
        <v/>
      </c>
      <c r="IX28" s="507" t="str">
        <f t="shared" si="239"/>
        <v/>
      </c>
      <c r="IY28" s="507" t="str">
        <f t="shared" si="240"/>
        <v/>
      </c>
      <c r="IZ28" s="507" t="str">
        <f t="shared" si="241"/>
        <v/>
      </c>
      <c r="JA28" s="507" t="str">
        <f t="shared" si="242"/>
        <v/>
      </c>
      <c r="JB28" s="507" t="str">
        <f t="shared" si="243"/>
        <v/>
      </c>
      <c r="JC28" s="516">
        <f t="shared" si="244"/>
        <v>0</v>
      </c>
      <c r="JD28" s="516">
        <f t="shared" si="245"/>
        <v>0</v>
      </c>
      <c r="JE28" s="516">
        <f t="shared" si="246"/>
        <v>0</v>
      </c>
      <c r="JF28" s="516">
        <f t="shared" si="247"/>
        <v>0</v>
      </c>
      <c r="JG28" s="516">
        <f t="shared" si="248"/>
        <v>0</v>
      </c>
      <c r="JH28" s="516">
        <f t="shared" si="249"/>
        <v>0</v>
      </c>
      <c r="JI28" s="516">
        <f t="shared" si="250"/>
        <v>0</v>
      </c>
      <c r="JJ28" s="516">
        <f t="shared" si="251"/>
        <v>0</v>
      </c>
      <c r="JK28" s="516">
        <f t="shared" si="252"/>
        <v>0</v>
      </c>
      <c r="JL28" s="516">
        <f t="shared" si="253"/>
        <v>0</v>
      </c>
      <c r="JM28" s="516">
        <f t="shared" si="254"/>
        <v>0</v>
      </c>
      <c r="JN28" s="516">
        <f t="shared" si="255"/>
        <v>0</v>
      </c>
      <c r="JO28" s="516">
        <f t="shared" si="256"/>
        <v>0</v>
      </c>
      <c r="JP28" s="516">
        <f t="shared" si="257"/>
        <v>0</v>
      </c>
      <c r="JQ28" s="516">
        <f t="shared" si="258"/>
        <v>0</v>
      </c>
    </row>
    <row r="29" spans="1:277" ht="12" customHeight="1">
      <c r="A29" s="115" t="str">
        <f t="shared" si="0"/>
        <v/>
      </c>
      <c r="B29" s="2822" t="s">
        <v>1837</v>
      </c>
      <c r="C29" s="2823"/>
      <c r="D29" s="2824"/>
      <c r="E29" s="2825"/>
      <c r="F29" s="2825"/>
      <c r="G29" s="2825"/>
      <c r="H29" s="2825"/>
      <c r="I29" s="2825"/>
      <c r="J29" s="2826"/>
      <c r="K29" s="795">
        <f t="shared" si="1"/>
        <v>0</v>
      </c>
      <c r="L29" s="795">
        <f t="shared" si="2"/>
        <v>0</v>
      </c>
      <c r="M29" s="2827"/>
      <c r="N29" s="2827"/>
      <c r="O29" s="2827"/>
      <c r="P29" s="2828"/>
      <c r="Q29" s="1258" t="str">
        <f t="shared" si="3"/>
        <v/>
      </c>
      <c r="R29" s="1259" t="str">
        <f>IF(H29="","",IF(C29="Efficiency",Q29/($O$6*VLOOKUP(0,'DCA Underwriting Assumptions'!$J$132:$K$137,2,FALSE)),Q29/($O$6*VLOOKUP(C29,'DCA Underwriting Assumptions'!$J$132:$K$137,2,FALSE))))</f>
        <v/>
      </c>
      <c r="S29" s="2829"/>
      <c r="T29" s="2830"/>
      <c r="U29" s="2831"/>
      <c r="V29" s="2746"/>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0" t="str">
        <f t="shared" si="134"/>
        <v/>
      </c>
      <c r="EX29" s="517" t="str">
        <f t="shared" si="135"/>
        <v/>
      </c>
      <c r="EY29" s="517" t="str">
        <f t="shared" si="136"/>
        <v/>
      </c>
      <c r="EZ29" s="517" t="str">
        <f t="shared" si="137"/>
        <v/>
      </c>
      <c r="FA29" s="517" t="str">
        <f t="shared" si="138"/>
        <v/>
      </c>
      <c r="FB29" s="517" t="str">
        <f t="shared" si="139"/>
        <v/>
      </c>
      <c r="FC29" s="517" t="str">
        <f t="shared" si="140"/>
        <v/>
      </c>
      <c r="FD29" s="517" t="str">
        <f t="shared" si="141"/>
        <v/>
      </c>
      <c r="FE29" s="517" t="str">
        <f t="shared" si="142"/>
        <v/>
      </c>
      <c r="FF29" s="517" t="str">
        <f t="shared" si="143"/>
        <v/>
      </c>
      <c r="FG29" s="517" t="str">
        <f t="shared" si="144"/>
        <v/>
      </c>
      <c r="FH29" s="517" t="str">
        <f t="shared" si="145"/>
        <v/>
      </c>
      <c r="FI29" s="517" t="str">
        <f t="shared" si="146"/>
        <v/>
      </c>
      <c r="FJ29" s="517" t="str">
        <f t="shared" si="147"/>
        <v/>
      </c>
      <c r="FK29" s="517" t="str">
        <f t="shared" si="148"/>
        <v/>
      </c>
      <c r="FL29" s="517" t="str">
        <f t="shared" si="149"/>
        <v/>
      </c>
      <c r="FM29" s="517" t="str">
        <f t="shared" si="150"/>
        <v/>
      </c>
      <c r="FN29" s="517" t="str">
        <f t="shared" si="151"/>
        <v/>
      </c>
      <c r="FO29" s="517" t="str">
        <f t="shared" si="152"/>
        <v/>
      </c>
      <c r="FP29" s="517" t="str">
        <f t="shared" si="153"/>
        <v/>
      </c>
      <c r="FQ29" s="517" t="str">
        <f t="shared" si="154"/>
        <v/>
      </c>
      <c r="FR29" s="517" t="str">
        <f t="shared" si="155"/>
        <v/>
      </c>
      <c r="FS29" s="517" t="str">
        <f t="shared" si="156"/>
        <v/>
      </c>
      <c r="FT29" s="517" t="str">
        <f t="shared" si="157"/>
        <v/>
      </c>
      <c r="FU29" s="517" t="str">
        <f t="shared" si="158"/>
        <v/>
      </c>
      <c r="FV29" s="517" t="str">
        <f t="shared" si="159"/>
        <v/>
      </c>
      <c r="FW29" s="517" t="str">
        <f t="shared" si="160"/>
        <v/>
      </c>
      <c r="FX29" s="517" t="str">
        <f t="shared" si="161"/>
        <v/>
      </c>
      <c r="FY29" s="517" t="str">
        <f t="shared" si="162"/>
        <v/>
      </c>
      <c r="FZ29" s="517" t="str">
        <f t="shared" si="163"/>
        <v/>
      </c>
      <c r="GA29" s="517" t="str">
        <f t="shared" si="164"/>
        <v/>
      </c>
      <c r="GB29" s="517" t="str">
        <f t="shared" si="165"/>
        <v/>
      </c>
      <c r="GC29" s="517" t="str">
        <f t="shared" si="166"/>
        <v/>
      </c>
      <c r="GD29" s="517" t="str">
        <f t="shared" si="167"/>
        <v/>
      </c>
      <c r="GE29" s="517" t="str">
        <f t="shared" si="168"/>
        <v/>
      </c>
      <c r="GF29" s="517" t="str">
        <f t="shared" si="169"/>
        <v/>
      </c>
      <c r="GG29" s="517" t="str">
        <f t="shared" si="170"/>
        <v/>
      </c>
      <c r="GH29" s="517" t="str">
        <f t="shared" si="171"/>
        <v/>
      </c>
      <c r="GI29" s="517" t="str">
        <f t="shared" si="172"/>
        <v/>
      </c>
      <c r="GJ29" s="517" t="str">
        <f t="shared" si="173"/>
        <v/>
      </c>
      <c r="GK29" s="517" t="str">
        <f t="shared" si="174"/>
        <v/>
      </c>
      <c r="GL29" s="517" t="str">
        <f t="shared" si="175"/>
        <v/>
      </c>
      <c r="GM29" s="517" t="str">
        <f t="shared" si="176"/>
        <v/>
      </c>
      <c r="GN29" s="517" t="str">
        <f t="shared" si="177"/>
        <v/>
      </c>
      <c r="GO29" s="517" t="str">
        <f t="shared" si="178"/>
        <v/>
      </c>
      <c r="GP29" s="517" t="str">
        <f t="shared" si="179"/>
        <v/>
      </c>
      <c r="GQ29" s="517" t="str">
        <f t="shared" si="180"/>
        <v/>
      </c>
      <c r="GR29" s="517" t="str">
        <f t="shared" si="181"/>
        <v/>
      </c>
      <c r="GS29" s="517" t="str">
        <f t="shared" si="182"/>
        <v/>
      </c>
      <c r="GT29" s="517" t="str">
        <f t="shared" si="183"/>
        <v/>
      </c>
      <c r="GU29" s="517" t="str">
        <f t="shared" si="184"/>
        <v/>
      </c>
      <c r="GV29" s="517" t="str">
        <f t="shared" si="185"/>
        <v/>
      </c>
      <c r="GW29" s="517" t="str">
        <f t="shared" si="186"/>
        <v/>
      </c>
      <c r="GX29" s="517" t="str">
        <f t="shared" si="187"/>
        <v/>
      </c>
      <c r="GY29" s="517" t="str">
        <f t="shared" si="188"/>
        <v/>
      </c>
      <c r="GZ29" s="517" t="str">
        <f t="shared" si="189"/>
        <v/>
      </c>
      <c r="HA29" s="517" t="str">
        <f t="shared" si="190"/>
        <v/>
      </c>
      <c r="HB29" s="517" t="str">
        <f t="shared" si="191"/>
        <v/>
      </c>
      <c r="HC29" s="517" t="str">
        <f t="shared" si="192"/>
        <v/>
      </c>
      <c r="HD29" s="517" t="str">
        <f t="shared" si="193"/>
        <v/>
      </c>
      <c r="HE29" s="517" t="str">
        <f t="shared" si="194"/>
        <v/>
      </c>
      <c r="HF29" s="517" t="str">
        <f t="shared" si="195"/>
        <v/>
      </c>
      <c r="HG29" s="517" t="str">
        <f t="shared" si="196"/>
        <v/>
      </c>
      <c r="HH29" s="517" t="str">
        <f t="shared" si="197"/>
        <v/>
      </c>
      <c r="HI29" s="517" t="str">
        <f t="shared" si="198"/>
        <v/>
      </c>
      <c r="HJ29" s="517" t="str">
        <f t="shared" si="199"/>
        <v/>
      </c>
      <c r="HK29" s="517" t="str">
        <f t="shared" si="200"/>
        <v/>
      </c>
      <c r="HL29" s="517" t="str">
        <f t="shared" si="201"/>
        <v/>
      </c>
      <c r="HM29" s="517" t="str">
        <f t="shared" si="202"/>
        <v/>
      </c>
      <c r="HN29" s="517" t="str">
        <f t="shared" si="203"/>
        <v/>
      </c>
      <c r="HO29" s="517" t="str">
        <f t="shared" si="204"/>
        <v/>
      </c>
      <c r="HP29" s="517" t="str">
        <f t="shared" si="205"/>
        <v/>
      </c>
      <c r="HQ29" s="517" t="str">
        <f t="shared" si="206"/>
        <v/>
      </c>
      <c r="HR29" s="517" t="str">
        <f t="shared" si="207"/>
        <v/>
      </c>
      <c r="HS29" s="517" t="str">
        <f t="shared" si="208"/>
        <v/>
      </c>
      <c r="HT29" s="517" t="str">
        <f t="shared" si="209"/>
        <v/>
      </c>
      <c r="HU29" s="517" t="str">
        <f t="shared" si="210"/>
        <v/>
      </c>
      <c r="HV29" s="517" t="str">
        <f t="shared" si="211"/>
        <v/>
      </c>
      <c r="HW29" s="517" t="str">
        <f t="shared" si="212"/>
        <v/>
      </c>
      <c r="HX29" s="517" t="str">
        <f t="shared" si="213"/>
        <v/>
      </c>
      <c r="HY29" s="517" t="str">
        <f t="shared" si="214"/>
        <v/>
      </c>
      <c r="HZ29" s="517" t="str">
        <f t="shared" si="215"/>
        <v/>
      </c>
      <c r="IA29" s="517" t="str">
        <f t="shared" si="216"/>
        <v/>
      </c>
      <c r="IB29" s="517" t="str">
        <f t="shared" si="217"/>
        <v/>
      </c>
      <c r="IC29" s="517" t="str">
        <f t="shared" si="218"/>
        <v/>
      </c>
      <c r="ID29" s="518" t="str">
        <f t="shared" si="219"/>
        <v/>
      </c>
      <c r="IE29" s="518" t="str">
        <f t="shared" si="220"/>
        <v/>
      </c>
      <c r="IF29" s="518" t="str">
        <f t="shared" si="221"/>
        <v/>
      </c>
      <c r="IG29" s="518" t="str">
        <f t="shared" si="222"/>
        <v/>
      </c>
      <c r="IH29" s="518" t="str">
        <f t="shared" si="223"/>
        <v/>
      </c>
      <c r="II29" s="507" t="str">
        <f t="shared" si="224"/>
        <v/>
      </c>
      <c r="IJ29" s="507" t="str">
        <f t="shared" si="225"/>
        <v/>
      </c>
      <c r="IK29" s="507" t="str">
        <f t="shared" si="226"/>
        <v/>
      </c>
      <c r="IL29" s="507" t="str">
        <f t="shared" si="227"/>
        <v/>
      </c>
      <c r="IM29" s="507" t="str">
        <f t="shared" si="228"/>
        <v/>
      </c>
      <c r="IN29" s="507" t="str">
        <f t="shared" si="229"/>
        <v/>
      </c>
      <c r="IO29" s="507" t="str">
        <f t="shared" si="230"/>
        <v/>
      </c>
      <c r="IP29" s="507" t="str">
        <f t="shared" si="231"/>
        <v/>
      </c>
      <c r="IQ29" s="507" t="str">
        <f t="shared" si="232"/>
        <v/>
      </c>
      <c r="IR29" s="507" t="str">
        <f t="shared" si="233"/>
        <v/>
      </c>
      <c r="IS29" s="507" t="str">
        <f t="shared" si="234"/>
        <v/>
      </c>
      <c r="IT29" s="507" t="str">
        <f t="shared" si="235"/>
        <v/>
      </c>
      <c r="IU29" s="507" t="str">
        <f t="shared" si="236"/>
        <v/>
      </c>
      <c r="IV29" s="507" t="str">
        <f t="shared" si="237"/>
        <v/>
      </c>
      <c r="IW29" s="507" t="str">
        <f t="shared" si="238"/>
        <v/>
      </c>
      <c r="IX29" s="507" t="str">
        <f t="shared" si="239"/>
        <v/>
      </c>
      <c r="IY29" s="507" t="str">
        <f t="shared" si="240"/>
        <v/>
      </c>
      <c r="IZ29" s="507" t="str">
        <f t="shared" si="241"/>
        <v/>
      </c>
      <c r="JA29" s="507" t="str">
        <f t="shared" si="242"/>
        <v/>
      </c>
      <c r="JB29" s="507" t="str">
        <f t="shared" si="243"/>
        <v/>
      </c>
      <c r="JC29" s="516">
        <f t="shared" si="244"/>
        <v>0</v>
      </c>
      <c r="JD29" s="516">
        <f t="shared" si="245"/>
        <v>0</v>
      </c>
      <c r="JE29" s="516">
        <f t="shared" si="246"/>
        <v>0</v>
      </c>
      <c r="JF29" s="516">
        <f t="shared" si="247"/>
        <v>0</v>
      </c>
      <c r="JG29" s="516">
        <f t="shared" si="248"/>
        <v>0</v>
      </c>
      <c r="JH29" s="516">
        <f t="shared" si="249"/>
        <v>0</v>
      </c>
      <c r="JI29" s="516">
        <f t="shared" si="250"/>
        <v>0</v>
      </c>
      <c r="JJ29" s="516">
        <f t="shared" si="251"/>
        <v>0</v>
      </c>
      <c r="JK29" s="516">
        <f t="shared" si="252"/>
        <v>0</v>
      </c>
      <c r="JL29" s="516">
        <f t="shared" si="253"/>
        <v>0</v>
      </c>
      <c r="JM29" s="516">
        <f t="shared" si="254"/>
        <v>0</v>
      </c>
      <c r="JN29" s="516">
        <f t="shared" si="255"/>
        <v>0</v>
      </c>
      <c r="JO29" s="516">
        <f t="shared" si="256"/>
        <v>0</v>
      </c>
      <c r="JP29" s="516">
        <f t="shared" si="257"/>
        <v>0</v>
      </c>
      <c r="JQ29" s="516">
        <f t="shared" si="258"/>
        <v>0</v>
      </c>
    </row>
    <row r="30" spans="1:277" ht="12" customHeight="1">
      <c r="A30" s="115" t="str">
        <f t="shared" si="0"/>
        <v/>
      </c>
      <c r="B30" s="2822" t="s">
        <v>1837</v>
      </c>
      <c r="C30" s="2823"/>
      <c r="D30" s="2824"/>
      <c r="E30" s="2825"/>
      <c r="F30" s="2825"/>
      <c r="G30" s="2825"/>
      <c r="H30" s="2825"/>
      <c r="I30" s="2825"/>
      <c r="J30" s="2826"/>
      <c r="K30" s="795">
        <f t="shared" si="1"/>
        <v>0</v>
      </c>
      <c r="L30" s="795">
        <f t="shared" si="2"/>
        <v>0</v>
      </c>
      <c r="M30" s="2827"/>
      <c r="N30" s="2827"/>
      <c r="O30" s="2827"/>
      <c r="P30" s="2828"/>
      <c r="Q30" s="1258" t="str">
        <f t="shared" si="3"/>
        <v/>
      </c>
      <c r="R30" s="1259" t="str">
        <f>IF(H30="","",IF(C30="Efficiency",Q30/($O$6*VLOOKUP(0,'DCA Underwriting Assumptions'!$J$132:$K$137,2,FALSE)),Q30/($O$6*VLOOKUP(C30,'DCA Underwriting Assumptions'!$J$132:$K$137,2,FALSE))))</f>
        <v/>
      </c>
      <c r="S30" s="2829"/>
      <c r="T30" s="2830"/>
      <c r="U30" s="2831"/>
      <c r="V30" s="2746"/>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0" t="str">
        <f t="shared" si="134"/>
        <v/>
      </c>
      <c r="EX30" s="517" t="str">
        <f t="shared" si="135"/>
        <v/>
      </c>
      <c r="EY30" s="517" t="str">
        <f t="shared" si="136"/>
        <v/>
      </c>
      <c r="EZ30" s="517" t="str">
        <f t="shared" si="137"/>
        <v/>
      </c>
      <c r="FA30" s="517" t="str">
        <f t="shared" si="138"/>
        <v/>
      </c>
      <c r="FB30" s="517" t="str">
        <f t="shared" si="139"/>
        <v/>
      </c>
      <c r="FC30" s="517" t="str">
        <f t="shared" si="140"/>
        <v/>
      </c>
      <c r="FD30" s="517" t="str">
        <f t="shared" si="141"/>
        <v/>
      </c>
      <c r="FE30" s="517" t="str">
        <f t="shared" si="142"/>
        <v/>
      </c>
      <c r="FF30" s="517" t="str">
        <f t="shared" si="143"/>
        <v/>
      </c>
      <c r="FG30" s="517" t="str">
        <f t="shared" si="144"/>
        <v/>
      </c>
      <c r="FH30" s="517" t="str">
        <f t="shared" si="145"/>
        <v/>
      </c>
      <c r="FI30" s="517" t="str">
        <f t="shared" si="146"/>
        <v/>
      </c>
      <c r="FJ30" s="517" t="str">
        <f t="shared" si="147"/>
        <v/>
      </c>
      <c r="FK30" s="517" t="str">
        <f t="shared" si="148"/>
        <v/>
      </c>
      <c r="FL30" s="517" t="str">
        <f t="shared" si="149"/>
        <v/>
      </c>
      <c r="FM30" s="517" t="str">
        <f t="shared" si="150"/>
        <v/>
      </c>
      <c r="FN30" s="517" t="str">
        <f t="shared" si="151"/>
        <v/>
      </c>
      <c r="FO30" s="517" t="str">
        <f t="shared" si="152"/>
        <v/>
      </c>
      <c r="FP30" s="517" t="str">
        <f t="shared" si="153"/>
        <v/>
      </c>
      <c r="FQ30" s="517" t="str">
        <f t="shared" si="154"/>
        <v/>
      </c>
      <c r="FR30" s="517" t="str">
        <f t="shared" si="155"/>
        <v/>
      </c>
      <c r="FS30" s="517" t="str">
        <f t="shared" si="156"/>
        <v/>
      </c>
      <c r="FT30" s="517" t="str">
        <f t="shared" si="157"/>
        <v/>
      </c>
      <c r="FU30" s="517" t="str">
        <f t="shared" si="158"/>
        <v/>
      </c>
      <c r="FV30" s="517" t="str">
        <f t="shared" si="159"/>
        <v/>
      </c>
      <c r="FW30" s="517" t="str">
        <f t="shared" si="160"/>
        <v/>
      </c>
      <c r="FX30" s="517" t="str">
        <f t="shared" si="161"/>
        <v/>
      </c>
      <c r="FY30" s="517" t="str">
        <f t="shared" si="162"/>
        <v/>
      </c>
      <c r="FZ30" s="517" t="str">
        <f t="shared" si="163"/>
        <v/>
      </c>
      <c r="GA30" s="517" t="str">
        <f t="shared" si="164"/>
        <v/>
      </c>
      <c r="GB30" s="517" t="str">
        <f t="shared" si="165"/>
        <v/>
      </c>
      <c r="GC30" s="517" t="str">
        <f t="shared" si="166"/>
        <v/>
      </c>
      <c r="GD30" s="517" t="str">
        <f t="shared" si="167"/>
        <v/>
      </c>
      <c r="GE30" s="517" t="str">
        <f t="shared" si="168"/>
        <v/>
      </c>
      <c r="GF30" s="517" t="str">
        <f t="shared" si="169"/>
        <v/>
      </c>
      <c r="GG30" s="517" t="str">
        <f t="shared" si="170"/>
        <v/>
      </c>
      <c r="GH30" s="517" t="str">
        <f t="shared" si="171"/>
        <v/>
      </c>
      <c r="GI30" s="517" t="str">
        <f t="shared" si="172"/>
        <v/>
      </c>
      <c r="GJ30" s="517" t="str">
        <f t="shared" si="173"/>
        <v/>
      </c>
      <c r="GK30" s="517" t="str">
        <f t="shared" si="174"/>
        <v/>
      </c>
      <c r="GL30" s="517" t="str">
        <f t="shared" si="175"/>
        <v/>
      </c>
      <c r="GM30" s="517" t="str">
        <f t="shared" si="176"/>
        <v/>
      </c>
      <c r="GN30" s="517" t="str">
        <f t="shared" si="177"/>
        <v/>
      </c>
      <c r="GO30" s="517" t="str">
        <f t="shared" si="178"/>
        <v/>
      </c>
      <c r="GP30" s="517" t="str">
        <f t="shared" si="179"/>
        <v/>
      </c>
      <c r="GQ30" s="517" t="str">
        <f t="shared" si="180"/>
        <v/>
      </c>
      <c r="GR30" s="517" t="str">
        <f t="shared" si="181"/>
        <v/>
      </c>
      <c r="GS30" s="517" t="str">
        <f t="shared" si="182"/>
        <v/>
      </c>
      <c r="GT30" s="517" t="str">
        <f t="shared" si="183"/>
        <v/>
      </c>
      <c r="GU30" s="517" t="str">
        <f t="shared" si="184"/>
        <v/>
      </c>
      <c r="GV30" s="517" t="str">
        <f t="shared" si="185"/>
        <v/>
      </c>
      <c r="GW30" s="517" t="str">
        <f t="shared" si="186"/>
        <v/>
      </c>
      <c r="GX30" s="517" t="str">
        <f t="shared" si="187"/>
        <v/>
      </c>
      <c r="GY30" s="517" t="str">
        <f t="shared" si="188"/>
        <v/>
      </c>
      <c r="GZ30" s="517" t="str">
        <f t="shared" si="189"/>
        <v/>
      </c>
      <c r="HA30" s="517" t="str">
        <f t="shared" si="190"/>
        <v/>
      </c>
      <c r="HB30" s="517" t="str">
        <f t="shared" si="191"/>
        <v/>
      </c>
      <c r="HC30" s="517" t="str">
        <f t="shared" si="192"/>
        <v/>
      </c>
      <c r="HD30" s="517" t="str">
        <f t="shared" si="193"/>
        <v/>
      </c>
      <c r="HE30" s="517" t="str">
        <f t="shared" si="194"/>
        <v/>
      </c>
      <c r="HF30" s="517" t="str">
        <f t="shared" si="195"/>
        <v/>
      </c>
      <c r="HG30" s="517" t="str">
        <f t="shared" si="196"/>
        <v/>
      </c>
      <c r="HH30" s="517" t="str">
        <f t="shared" si="197"/>
        <v/>
      </c>
      <c r="HI30" s="517" t="str">
        <f t="shared" si="198"/>
        <v/>
      </c>
      <c r="HJ30" s="517" t="str">
        <f t="shared" si="199"/>
        <v/>
      </c>
      <c r="HK30" s="517" t="str">
        <f t="shared" si="200"/>
        <v/>
      </c>
      <c r="HL30" s="517" t="str">
        <f t="shared" si="201"/>
        <v/>
      </c>
      <c r="HM30" s="517" t="str">
        <f t="shared" si="202"/>
        <v/>
      </c>
      <c r="HN30" s="517" t="str">
        <f t="shared" si="203"/>
        <v/>
      </c>
      <c r="HO30" s="517" t="str">
        <f t="shared" si="204"/>
        <v/>
      </c>
      <c r="HP30" s="517" t="str">
        <f t="shared" si="205"/>
        <v/>
      </c>
      <c r="HQ30" s="517" t="str">
        <f t="shared" si="206"/>
        <v/>
      </c>
      <c r="HR30" s="517" t="str">
        <f t="shared" si="207"/>
        <v/>
      </c>
      <c r="HS30" s="517" t="str">
        <f t="shared" si="208"/>
        <v/>
      </c>
      <c r="HT30" s="517" t="str">
        <f t="shared" si="209"/>
        <v/>
      </c>
      <c r="HU30" s="517" t="str">
        <f t="shared" si="210"/>
        <v/>
      </c>
      <c r="HV30" s="517" t="str">
        <f t="shared" si="211"/>
        <v/>
      </c>
      <c r="HW30" s="517" t="str">
        <f t="shared" si="212"/>
        <v/>
      </c>
      <c r="HX30" s="517" t="str">
        <f t="shared" si="213"/>
        <v/>
      </c>
      <c r="HY30" s="517" t="str">
        <f t="shared" si="214"/>
        <v/>
      </c>
      <c r="HZ30" s="517" t="str">
        <f t="shared" si="215"/>
        <v/>
      </c>
      <c r="IA30" s="517" t="str">
        <f t="shared" si="216"/>
        <v/>
      </c>
      <c r="IB30" s="517" t="str">
        <f t="shared" si="217"/>
        <v/>
      </c>
      <c r="IC30" s="517" t="str">
        <f t="shared" si="218"/>
        <v/>
      </c>
      <c r="ID30" s="518" t="str">
        <f t="shared" si="219"/>
        <v/>
      </c>
      <c r="IE30" s="518" t="str">
        <f t="shared" si="220"/>
        <v/>
      </c>
      <c r="IF30" s="518" t="str">
        <f t="shared" si="221"/>
        <v/>
      </c>
      <c r="IG30" s="518" t="str">
        <f t="shared" si="222"/>
        <v/>
      </c>
      <c r="IH30" s="518" t="str">
        <f t="shared" si="223"/>
        <v/>
      </c>
      <c r="II30" s="507" t="str">
        <f t="shared" si="224"/>
        <v/>
      </c>
      <c r="IJ30" s="507" t="str">
        <f t="shared" si="225"/>
        <v/>
      </c>
      <c r="IK30" s="507" t="str">
        <f t="shared" si="226"/>
        <v/>
      </c>
      <c r="IL30" s="507" t="str">
        <f t="shared" si="227"/>
        <v/>
      </c>
      <c r="IM30" s="507" t="str">
        <f t="shared" si="228"/>
        <v/>
      </c>
      <c r="IN30" s="507" t="str">
        <f t="shared" si="229"/>
        <v/>
      </c>
      <c r="IO30" s="507" t="str">
        <f t="shared" si="230"/>
        <v/>
      </c>
      <c r="IP30" s="507" t="str">
        <f t="shared" si="231"/>
        <v/>
      </c>
      <c r="IQ30" s="507" t="str">
        <f t="shared" si="232"/>
        <v/>
      </c>
      <c r="IR30" s="507" t="str">
        <f t="shared" si="233"/>
        <v/>
      </c>
      <c r="IS30" s="507" t="str">
        <f t="shared" si="234"/>
        <v/>
      </c>
      <c r="IT30" s="507" t="str">
        <f t="shared" si="235"/>
        <v/>
      </c>
      <c r="IU30" s="507" t="str">
        <f t="shared" si="236"/>
        <v/>
      </c>
      <c r="IV30" s="507" t="str">
        <f t="shared" si="237"/>
        <v/>
      </c>
      <c r="IW30" s="507" t="str">
        <f t="shared" si="238"/>
        <v/>
      </c>
      <c r="IX30" s="507" t="str">
        <f t="shared" si="239"/>
        <v/>
      </c>
      <c r="IY30" s="507" t="str">
        <f t="shared" si="240"/>
        <v/>
      </c>
      <c r="IZ30" s="507" t="str">
        <f t="shared" si="241"/>
        <v/>
      </c>
      <c r="JA30" s="507" t="str">
        <f t="shared" si="242"/>
        <v/>
      </c>
      <c r="JB30" s="507" t="str">
        <f t="shared" si="243"/>
        <v/>
      </c>
      <c r="JC30" s="516">
        <f t="shared" si="244"/>
        <v>0</v>
      </c>
      <c r="JD30" s="516">
        <f t="shared" si="245"/>
        <v>0</v>
      </c>
      <c r="JE30" s="516">
        <f t="shared" si="246"/>
        <v>0</v>
      </c>
      <c r="JF30" s="516">
        <f t="shared" si="247"/>
        <v>0</v>
      </c>
      <c r="JG30" s="516">
        <f t="shared" si="248"/>
        <v>0</v>
      </c>
      <c r="JH30" s="516">
        <f t="shared" si="249"/>
        <v>0</v>
      </c>
      <c r="JI30" s="516">
        <f t="shared" si="250"/>
        <v>0</v>
      </c>
      <c r="JJ30" s="516">
        <f t="shared" si="251"/>
        <v>0</v>
      </c>
      <c r="JK30" s="516">
        <f t="shared" si="252"/>
        <v>0</v>
      </c>
      <c r="JL30" s="516">
        <f t="shared" si="253"/>
        <v>0</v>
      </c>
      <c r="JM30" s="516">
        <f t="shared" si="254"/>
        <v>0</v>
      </c>
      <c r="JN30" s="516">
        <f t="shared" si="255"/>
        <v>0</v>
      </c>
      <c r="JO30" s="516">
        <f t="shared" si="256"/>
        <v>0</v>
      </c>
      <c r="JP30" s="516">
        <f t="shared" si="257"/>
        <v>0</v>
      </c>
      <c r="JQ30" s="516">
        <f t="shared" si="258"/>
        <v>0</v>
      </c>
    </row>
    <row r="31" spans="1:277" ht="12" customHeight="1">
      <c r="A31" s="115" t="str">
        <f t="shared" si="0"/>
        <v/>
      </c>
      <c r="B31" s="2822" t="s">
        <v>1837</v>
      </c>
      <c r="C31" s="2823"/>
      <c r="D31" s="2824"/>
      <c r="E31" s="2825"/>
      <c r="F31" s="2825"/>
      <c r="G31" s="2825"/>
      <c r="H31" s="2825"/>
      <c r="I31" s="2825"/>
      <c r="J31" s="2826"/>
      <c r="K31" s="795">
        <f t="shared" si="1"/>
        <v>0</v>
      </c>
      <c r="L31" s="795">
        <f t="shared" si="2"/>
        <v>0</v>
      </c>
      <c r="M31" s="2827"/>
      <c r="N31" s="2827"/>
      <c r="O31" s="2827"/>
      <c r="P31" s="2828"/>
      <c r="Q31" s="1258" t="str">
        <f t="shared" si="3"/>
        <v/>
      </c>
      <c r="R31" s="1259" t="str">
        <f>IF(H31="","",IF(C31="Efficiency",Q31/($O$6*VLOOKUP(0,'DCA Underwriting Assumptions'!$J$132:$K$137,2,FALSE)),Q31/($O$6*VLOOKUP(C31,'DCA Underwriting Assumptions'!$J$132:$K$137,2,FALSE))))</f>
        <v/>
      </c>
      <c r="S31" s="2829"/>
      <c r="T31" s="2830"/>
      <c r="U31" s="2831"/>
      <c r="V31" s="2746"/>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0" t="str">
        <f t="shared" si="134"/>
        <v/>
      </c>
      <c r="EX31" s="517" t="str">
        <f t="shared" si="135"/>
        <v/>
      </c>
      <c r="EY31" s="517" t="str">
        <f t="shared" si="136"/>
        <v/>
      </c>
      <c r="EZ31" s="517" t="str">
        <f t="shared" si="137"/>
        <v/>
      </c>
      <c r="FA31" s="517" t="str">
        <f t="shared" si="138"/>
        <v/>
      </c>
      <c r="FB31" s="517" t="str">
        <f t="shared" si="139"/>
        <v/>
      </c>
      <c r="FC31" s="517" t="str">
        <f t="shared" si="140"/>
        <v/>
      </c>
      <c r="FD31" s="517" t="str">
        <f t="shared" si="141"/>
        <v/>
      </c>
      <c r="FE31" s="517" t="str">
        <f t="shared" si="142"/>
        <v/>
      </c>
      <c r="FF31" s="517" t="str">
        <f t="shared" si="143"/>
        <v/>
      </c>
      <c r="FG31" s="517" t="str">
        <f t="shared" si="144"/>
        <v/>
      </c>
      <c r="FH31" s="517" t="str">
        <f t="shared" si="145"/>
        <v/>
      </c>
      <c r="FI31" s="517" t="str">
        <f t="shared" si="146"/>
        <v/>
      </c>
      <c r="FJ31" s="517" t="str">
        <f t="shared" si="147"/>
        <v/>
      </c>
      <c r="FK31" s="517" t="str">
        <f t="shared" si="148"/>
        <v/>
      </c>
      <c r="FL31" s="517" t="str">
        <f t="shared" si="149"/>
        <v/>
      </c>
      <c r="FM31" s="517" t="str">
        <f t="shared" si="150"/>
        <v/>
      </c>
      <c r="FN31" s="517" t="str">
        <f t="shared" si="151"/>
        <v/>
      </c>
      <c r="FO31" s="517" t="str">
        <f t="shared" si="152"/>
        <v/>
      </c>
      <c r="FP31" s="517" t="str">
        <f t="shared" si="153"/>
        <v/>
      </c>
      <c r="FQ31" s="517" t="str">
        <f t="shared" si="154"/>
        <v/>
      </c>
      <c r="FR31" s="517" t="str">
        <f t="shared" si="155"/>
        <v/>
      </c>
      <c r="FS31" s="517" t="str">
        <f t="shared" si="156"/>
        <v/>
      </c>
      <c r="FT31" s="517" t="str">
        <f t="shared" si="157"/>
        <v/>
      </c>
      <c r="FU31" s="517" t="str">
        <f t="shared" si="158"/>
        <v/>
      </c>
      <c r="FV31" s="517" t="str">
        <f t="shared" si="159"/>
        <v/>
      </c>
      <c r="FW31" s="517" t="str">
        <f t="shared" si="160"/>
        <v/>
      </c>
      <c r="FX31" s="517" t="str">
        <f t="shared" si="161"/>
        <v/>
      </c>
      <c r="FY31" s="517" t="str">
        <f t="shared" si="162"/>
        <v/>
      </c>
      <c r="FZ31" s="517" t="str">
        <f t="shared" si="163"/>
        <v/>
      </c>
      <c r="GA31" s="517" t="str">
        <f t="shared" si="164"/>
        <v/>
      </c>
      <c r="GB31" s="517" t="str">
        <f t="shared" si="165"/>
        <v/>
      </c>
      <c r="GC31" s="517" t="str">
        <f t="shared" si="166"/>
        <v/>
      </c>
      <c r="GD31" s="517" t="str">
        <f t="shared" si="167"/>
        <v/>
      </c>
      <c r="GE31" s="517" t="str">
        <f t="shared" si="168"/>
        <v/>
      </c>
      <c r="GF31" s="517" t="str">
        <f t="shared" si="169"/>
        <v/>
      </c>
      <c r="GG31" s="517" t="str">
        <f t="shared" si="170"/>
        <v/>
      </c>
      <c r="GH31" s="517" t="str">
        <f t="shared" si="171"/>
        <v/>
      </c>
      <c r="GI31" s="517" t="str">
        <f t="shared" si="172"/>
        <v/>
      </c>
      <c r="GJ31" s="517" t="str">
        <f t="shared" si="173"/>
        <v/>
      </c>
      <c r="GK31" s="517" t="str">
        <f t="shared" si="174"/>
        <v/>
      </c>
      <c r="GL31" s="517" t="str">
        <f t="shared" si="175"/>
        <v/>
      </c>
      <c r="GM31" s="517" t="str">
        <f t="shared" si="176"/>
        <v/>
      </c>
      <c r="GN31" s="517" t="str">
        <f t="shared" si="177"/>
        <v/>
      </c>
      <c r="GO31" s="517" t="str">
        <f t="shared" si="178"/>
        <v/>
      </c>
      <c r="GP31" s="517" t="str">
        <f t="shared" si="179"/>
        <v/>
      </c>
      <c r="GQ31" s="517" t="str">
        <f t="shared" si="180"/>
        <v/>
      </c>
      <c r="GR31" s="517" t="str">
        <f t="shared" si="181"/>
        <v/>
      </c>
      <c r="GS31" s="517" t="str">
        <f t="shared" si="182"/>
        <v/>
      </c>
      <c r="GT31" s="517" t="str">
        <f t="shared" si="183"/>
        <v/>
      </c>
      <c r="GU31" s="517" t="str">
        <f t="shared" si="184"/>
        <v/>
      </c>
      <c r="GV31" s="517" t="str">
        <f t="shared" si="185"/>
        <v/>
      </c>
      <c r="GW31" s="517" t="str">
        <f t="shared" si="186"/>
        <v/>
      </c>
      <c r="GX31" s="517" t="str">
        <f t="shared" si="187"/>
        <v/>
      </c>
      <c r="GY31" s="517" t="str">
        <f t="shared" si="188"/>
        <v/>
      </c>
      <c r="GZ31" s="517" t="str">
        <f t="shared" si="189"/>
        <v/>
      </c>
      <c r="HA31" s="517" t="str">
        <f t="shared" si="190"/>
        <v/>
      </c>
      <c r="HB31" s="517" t="str">
        <f t="shared" si="191"/>
        <v/>
      </c>
      <c r="HC31" s="517" t="str">
        <f t="shared" si="192"/>
        <v/>
      </c>
      <c r="HD31" s="517" t="str">
        <f t="shared" si="193"/>
        <v/>
      </c>
      <c r="HE31" s="517" t="str">
        <f t="shared" si="194"/>
        <v/>
      </c>
      <c r="HF31" s="517" t="str">
        <f t="shared" si="195"/>
        <v/>
      </c>
      <c r="HG31" s="517" t="str">
        <f t="shared" si="196"/>
        <v/>
      </c>
      <c r="HH31" s="517" t="str">
        <f t="shared" si="197"/>
        <v/>
      </c>
      <c r="HI31" s="517" t="str">
        <f t="shared" si="198"/>
        <v/>
      </c>
      <c r="HJ31" s="517" t="str">
        <f t="shared" si="199"/>
        <v/>
      </c>
      <c r="HK31" s="517" t="str">
        <f t="shared" si="200"/>
        <v/>
      </c>
      <c r="HL31" s="517" t="str">
        <f t="shared" si="201"/>
        <v/>
      </c>
      <c r="HM31" s="517" t="str">
        <f t="shared" si="202"/>
        <v/>
      </c>
      <c r="HN31" s="517" t="str">
        <f t="shared" si="203"/>
        <v/>
      </c>
      <c r="HO31" s="517" t="str">
        <f t="shared" si="204"/>
        <v/>
      </c>
      <c r="HP31" s="517" t="str">
        <f t="shared" si="205"/>
        <v/>
      </c>
      <c r="HQ31" s="517" t="str">
        <f t="shared" si="206"/>
        <v/>
      </c>
      <c r="HR31" s="517" t="str">
        <f t="shared" si="207"/>
        <v/>
      </c>
      <c r="HS31" s="517" t="str">
        <f t="shared" si="208"/>
        <v/>
      </c>
      <c r="HT31" s="517" t="str">
        <f t="shared" si="209"/>
        <v/>
      </c>
      <c r="HU31" s="517" t="str">
        <f t="shared" si="210"/>
        <v/>
      </c>
      <c r="HV31" s="517" t="str">
        <f t="shared" si="211"/>
        <v/>
      </c>
      <c r="HW31" s="517" t="str">
        <f t="shared" si="212"/>
        <v/>
      </c>
      <c r="HX31" s="517" t="str">
        <f t="shared" si="213"/>
        <v/>
      </c>
      <c r="HY31" s="517" t="str">
        <f t="shared" si="214"/>
        <v/>
      </c>
      <c r="HZ31" s="517" t="str">
        <f t="shared" si="215"/>
        <v/>
      </c>
      <c r="IA31" s="517" t="str">
        <f t="shared" si="216"/>
        <v/>
      </c>
      <c r="IB31" s="517" t="str">
        <f t="shared" si="217"/>
        <v/>
      </c>
      <c r="IC31" s="517" t="str">
        <f t="shared" si="218"/>
        <v/>
      </c>
      <c r="ID31" s="518" t="str">
        <f t="shared" si="219"/>
        <v/>
      </c>
      <c r="IE31" s="518" t="str">
        <f t="shared" si="220"/>
        <v/>
      </c>
      <c r="IF31" s="518" t="str">
        <f t="shared" si="221"/>
        <v/>
      </c>
      <c r="IG31" s="518" t="str">
        <f t="shared" si="222"/>
        <v/>
      </c>
      <c r="IH31" s="518" t="str">
        <f t="shared" si="223"/>
        <v/>
      </c>
      <c r="II31" s="507" t="str">
        <f t="shared" si="224"/>
        <v/>
      </c>
      <c r="IJ31" s="507" t="str">
        <f t="shared" si="225"/>
        <v/>
      </c>
      <c r="IK31" s="507" t="str">
        <f t="shared" si="226"/>
        <v/>
      </c>
      <c r="IL31" s="507" t="str">
        <f t="shared" si="227"/>
        <v/>
      </c>
      <c r="IM31" s="507" t="str">
        <f t="shared" si="228"/>
        <v/>
      </c>
      <c r="IN31" s="507" t="str">
        <f t="shared" si="229"/>
        <v/>
      </c>
      <c r="IO31" s="507" t="str">
        <f t="shared" si="230"/>
        <v/>
      </c>
      <c r="IP31" s="507" t="str">
        <f t="shared" si="231"/>
        <v/>
      </c>
      <c r="IQ31" s="507" t="str">
        <f t="shared" si="232"/>
        <v/>
      </c>
      <c r="IR31" s="507" t="str">
        <f t="shared" si="233"/>
        <v/>
      </c>
      <c r="IS31" s="507" t="str">
        <f t="shared" si="234"/>
        <v/>
      </c>
      <c r="IT31" s="507" t="str">
        <f t="shared" si="235"/>
        <v/>
      </c>
      <c r="IU31" s="507" t="str">
        <f t="shared" si="236"/>
        <v/>
      </c>
      <c r="IV31" s="507" t="str">
        <f t="shared" si="237"/>
        <v/>
      </c>
      <c r="IW31" s="507" t="str">
        <f t="shared" si="238"/>
        <v/>
      </c>
      <c r="IX31" s="507" t="str">
        <f t="shared" si="239"/>
        <v/>
      </c>
      <c r="IY31" s="507" t="str">
        <f t="shared" si="240"/>
        <v/>
      </c>
      <c r="IZ31" s="507" t="str">
        <f t="shared" si="241"/>
        <v/>
      </c>
      <c r="JA31" s="507" t="str">
        <f t="shared" si="242"/>
        <v/>
      </c>
      <c r="JB31" s="507" t="str">
        <f t="shared" si="243"/>
        <v/>
      </c>
      <c r="JC31" s="516">
        <f t="shared" si="244"/>
        <v>0</v>
      </c>
      <c r="JD31" s="516">
        <f t="shared" si="245"/>
        <v>0</v>
      </c>
      <c r="JE31" s="516">
        <f t="shared" si="246"/>
        <v>0</v>
      </c>
      <c r="JF31" s="516">
        <f t="shared" si="247"/>
        <v>0</v>
      </c>
      <c r="JG31" s="516">
        <f t="shared" si="248"/>
        <v>0</v>
      </c>
      <c r="JH31" s="516">
        <f t="shared" si="249"/>
        <v>0</v>
      </c>
      <c r="JI31" s="516">
        <f t="shared" si="250"/>
        <v>0</v>
      </c>
      <c r="JJ31" s="516">
        <f t="shared" si="251"/>
        <v>0</v>
      </c>
      <c r="JK31" s="516">
        <f t="shared" si="252"/>
        <v>0</v>
      </c>
      <c r="JL31" s="516">
        <f t="shared" si="253"/>
        <v>0</v>
      </c>
      <c r="JM31" s="516">
        <f t="shared" si="254"/>
        <v>0</v>
      </c>
      <c r="JN31" s="516">
        <f t="shared" si="255"/>
        <v>0</v>
      </c>
      <c r="JO31" s="516">
        <f t="shared" si="256"/>
        <v>0</v>
      </c>
      <c r="JP31" s="516">
        <f t="shared" si="257"/>
        <v>0</v>
      </c>
      <c r="JQ31" s="516">
        <f t="shared" si="258"/>
        <v>0</v>
      </c>
    </row>
    <row r="32" spans="1:277" ht="12" customHeight="1">
      <c r="A32" s="115" t="str">
        <f t="shared" si="0"/>
        <v/>
      </c>
      <c r="B32" s="2822" t="s">
        <v>1837</v>
      </c>
      <c r="C32" s="2823"/>
      <c r="D32" s="2824"/>
      <c r="E32" s="2825"/>
      <c r="F32" s="2825"/>
      <c r="G32" s="2825"/>
      <c r="H32" s="2825"/>
      <c r="I32" s="2825"/>
      <c r="J32" s="2826"/>
      <c r="K32" s="795">
        <f t="shared" si="1"/>
        <v>0</v>
      </c>
      <c r="L32" s="795">
        <f t="shared" si="2"/>
        <v>0</v>
      </c>
      <c r="M32" s="2827"/>
      <c r="N32" s="2827"/>
      <c r="O32" s="2827"/>
      <c r="P32" s="2828"/>
      <c r="Q32" s="1258" t="str">
        <f t="shared" si="3"/>
        <v/>
      </c>
      <c r="R32" s="1259" t="str">
        <f>IF(H32="","",IF(C32="Efficiency",Q32/($O$6*VLOOKUP(0,'DCA Underwriting Assumptions'!$J$132:$K$137,2,FALSE)),Q32/($O$6*VLOOKUP(C32,'DCA Underwriting Assumptions'!$J$132:$K$137,2,FALSE))))</f>
        <v/>
      </c>
      <c r="S32" s="2829"/>
      <c r="T32" s="2830"/>
      <c r="U32" s="2831"/>
      <c r="V32" s="2746"/>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0" t="str">
        <f t="shared" si="134"/>
        <v/>
      </c>
      <c r="EX32" s="517" t="str">
        <f t="shared" si="135"/>
        <v/>
      </c>
      <c r="EY32" s="517" t="str">
        <f t="shared" si="136"/>
        <v/>
      </c>
      <c r="EZ32" s="517" t="str">
        <f t="shared" si="137"/>
        <v/>
      </c>
      <c r="FA32" s="517" t="str">
        <f t="shared" si="138"/>
        <v/>
      </c>
      <c r="FB32" s="517" t="str">
        <f t="shared" si="139"/>
        <v/>
      </c>
      <c r="FC32" s="517" t="str">
        <f t="shared" si="140"/>
        <v/>
      </c>
      <c r="FD32" s="517" t="str">
        <f t="shared" si="141"/>
        <v/>
      </c>
      <c r="FE32" s="517" t="str">
        <f t="shared" si="142"/>
        <v/>
      </c>
      <c r="FF32" s="517" t="str">
        <f t="shared" si="143"/>
        <v/>
      </c>
      <c r="FG32" s="517" t="str">
        <f t="shared" si="144"/>
        <v/>
      </c>
      <c r="FH32" s="517" t="str">
        <f t="shared" si="145"/>
        <v/>
      </c>
      <c r="FI32" s="517" t="str">
        <f t="shared" si="146"/>
        <v/>
      </c>
      <c r="FJ32" s="517" t="str">
        <f t="shared" si="147"/>
        <v/>
      </c>
      <c r="FK32" s="517" t="str">
        <f t="shared" si="148"/>
        <v/>
      </c>
      <c r="FL32" s="517" t="str">
        <f t="shared" si="149"/>
        <v/>
      </c>
      <c r="FM32" s="517" t="str">
        <f t="shared" si="150"/>
        <v/>
      </c>
      <c r="FN32" s="517" t="str">
        <f t="shared" si="151"/>
        <v/>
      </c>
      <c r="FO32" s="517" t="str">
        <f t="shared" si="152"/>
        <v/>
      </c>
      <c r="FP32" s="517" t="str">
        <f t="shared" si="153"/>
        <v/>
      </c>
      <c r="FQ32" s="517" t="str">
        <f t="shared" si="154"/>
        <v/>
      </c>
      <c r="FR32" s="517" t="str">
        <f t="shared" si="155"/>
        <v/>
      </c>
      <c r="FS32" s="517" t="str">
        <f t="shared" si="156"/>
        <v/>
      </c>
      <c r="FT32" s="517" t="str">
        <f t="shared" si="157"/>
        <v/>
      </c>
      <c r="FU32" s="517" t="str">
        <f t="shared" si="158"/>
        <v/>
      </c>
      <c r="FV32" s="517" t="str">
        <f t="shared" si="159"/>
        <v/>
      </c>
      <c r="FW32" s="517" t="str">
        <f t="shared" si="160"/>
        <v/>
      </c>
      <c r="FX32" s="517" t="str">
        <f t="shared" si="161"/>
        <v/>
      </c>
      <c r="FY32" s="517" t="str">
        <f t="shared" si="162"/>
        <v/>
      </c>
      <c r="FZ32" s="517" t="str">
        <f t="shared" si="163"/>
        <v/>
      </c>
      <c r="GA32" s="517" t="str">
        <f t="shared" si="164"/>
        <v/>
      </c>
      <c r="GB32" s="517" t="str">
        <f t="shared" si="165"/>
        <v/>
      </c>
      <c r="GC32" s="517" t="str">
        <f t="shared" si="166"/>
        <v/>
      </c>
      <c r="GD32" s="517" t="str">
        <f t="shared" si="167"/>
        <v/>
      </c>
      <c r="GE32" s="517" t="str">
        <f t="shared" si="168"/>
        <v/>
      </c>
      <c r="GF32" s="517" t="str">
        <f t="shared" si="169"/>
        <v/>
      </c>
      <c r="GG32" s="517" t="str">
        <f t="shared" si="170"/>
        <v/>
      </c>
      <c r="GH32" s="517" t="str">
        <f t="shared" si="171"/>
        <v/>
      </c>
      <c r="GI32" s="517" t="str">
        <f t="shared" si="172"/>
        <v/>
      </c>
      <c r="GJ32" s="517" t="str">
        <f t="shared" si="173"/>
        <v/>
      </c>
      <c r="GK32" s="517" t="str">
        <f t="shared" si="174"/>
        <v/>
      </c>
      <c r="GL32" s="517" t="str">
        <f t="shared" si="175"/>
        <v/>
      </c>
      <c r="GM32" s="517" t="str">
        <f t="shared" si="176"/>
        <v/>
      </c>
      <c r="GN32" s="517" t="str">
        <f t="shared" si="177"/>
        <v/>
      </c>
      <c r="GO32" s="517" t="str">
        <f t="shared" si="178"/>
        <v/>
      </c>
      <c r="GP32" s="517" t="str">
        <f t="shared" si="179"/>
        <v/>
      </c>
      <c r="GQ32" s="517" t="str">
        <f t="shared" si="180"/>
        <v/>
      </c>
      <c r="GR32" s="517" t="str">
        <f t="shared" si="181"/>
        <v/>
      </c>
      <c r="GS32" s="517" t="str">
        <f t="shared" si="182"/>
        <v/>
      </c>
      <c r="GT32" s="517" t="str">
        <f t="shared" si="183"/>
        <v/>
      </c>
      <c r="GU32" s="517" t="str">
        <f t="shared" si="184"/>
        <v/>
      </c>
      <c r="GV32" s="517" t="str">
        <f t="shared" si="185"/>
        <v/>
      </c>
      <c r="GW32" s="517" t="str">
        <f t="shared" si="186"/>
        <v/>
      </c>
      <c r="GX32" s="517" t="str">
        <f t="shared" si="187"/>
        <v/>
      </c>
      <c r="GY32" s="517" t="str">
        <f t="shared" si="188"/>
        <v/>
      </c>
      <c r="GZ32" s="517" t="str">
        <f t="shared" si="189"/>
        <v/>
      </c>
      <c r="HA32" s="517" t="str">
        <f t="shared" si="190"/>
        <v/>
      </c>
      <c r="HB32" s="517" t="str">
        <f t="shared" si="191"/>
        <v/>
      </c>
      <c r="HC32" s="517" t="str">
        <f t="shared" si="192"/>
        <v/>
      </c>
      <c r="HD32" s="517" t="str">
        <f t="shared" si="193"/>
        <v/>
      </c>
      <c r="HE32" s="517" t="str">
        <f t="shared" si="194"/>
        <v/>
      </c>
      <c r="HF32" s="517" t="str">
        <f t="shared" si="195"/>
        <v/>
      </c>
      <c r="HG32" s="517" t="str">
        <f t="shared" si="196"/>
        <v/>
      </c>
      <c r="HH32" s="517" t="str">
        <f t="shared" si="197"/>
        <v/>
      </c>
      <c r="HI32" s="517" t="str">
        <f t="shared" si="198"/>
        <v/>
      </c>
      <c r="HJ32" s="517" t="str">
        <f t="shared" si="199"/>
        <v/>
      </c>
      <c r="HK32" s="517" t="str">
        <f t="shared" si="200"/>
        <v/>
      </c>
      <c r="HL32" s="517" t="str">
        <f t="shared" si="201"/>
        <v/>
      </c>
      <c r="HM32" s="517" t="str">
        <f t="shared" si="202"/>
        <v/>
      </c>
      <c r="HN32" s="517" t="str">
        <f t="shared" si="203"/>
        <v/>
      </c>
      <c r="HO32" s="517" t="str">
        <f t="shared" si="204"/>
        <v/>
      </c>
      <c r="HP32" s="517" t="str">
        <f t="shared" si="205"/>
        <v/>
      </c>
      <c r="HQ32" s="517" t="str">
        <f t="shared" si="206"/>
        <v/>
      </c>
      <c r="HR32" s="517" t="str">
        <f t="shared" si="207"/>
        <v/>
      </c>
      <c r="HS32" s="517" t="str">
        <f t="shared" si="208"/>
        <v/>
      </c>
      <c r="HT32" s="517" t="str">
        <f t="shared" si="209"/>
        <v/>
      </c>
      <c r="HU32" s="517" t="str">
        <f t="shared" si="210"/>
        <v/>
      </c>
      <c r="HV32" s="517" t="str">
        <f t="shared" si="211"/>
        <v/>
      </c>
      <c r="HW32" s="517" t="str">
        <f t="shared" si="212"/>
        <v/>
      </c>
      <c r="HX32" s="517" t="str">
        <f t="shared" si="213"/>
        <v/>
      </c>
      <c r="HY32" s="517" t="str">
        <f t="shared" si="214"/>
        <v/>
      </c>
      <c r="HZ32" s="517" t="str">
        <f t="shared" si="215"/>
        <v/>
      </c>
      <c r="IA32" s="517" t="str">
        <f t="shared" si="216"/>
        <v/>
      </c>
      <c r="IB32" s="517" t="str">
        <f t="shared" si="217"/>
        <v/>
      </c>
      <c r="IC32" s="517" t="str">
        <f t="shared" si="218"/>
        <v/>
      </c>
      <c r="ID32" s="518" t="str">
        <f t="shared" si="219"/>
        <v/>
      </c>
      <c r="IE32" s="518" t="str">
        <f t="shared" si="220"/>
        <v/>
      </c>
      <c r="IF32" s="518" t="str">
        <f t="shared" si="221"/>
        <v/>
      </c>
      <c r="IG32" s="518" t="str">
        <f t="shared" si="222"/>
        <v/>
      </c>
      <c r="IH32" s="518" t="str">
        <f t="shared" si="223"/>
        <v/>
      </c>
      <c r="II32" s="507" t="str">
        <f t="shared" si="224"/>
        <v/>
      </c>
      <c r="IJ32" s="507" t="str">
        <f t="shared" si="225"/>
        <v/>
      </c>
      <c r="IK32" s="507" t="str">
        <f t="shared" si="226"/>
        <v/>
      </c>
      <c r="IL32" s="507" t="str">
        <f t="shared" si="227"/>
        <v/>
      </c>
      <c r="IM32" s="507" t="str">
        <f t="shared" si="228"/>
        <v/>
      </c>
      <c r="IN32" s="507" t="str">
        <f t="shared" si="229"/>
        <v/>
      </c>
      <c r="IO32" s="507" t="str">
        <f t="shared" si="230"/>
        <v/>
      </c>
      <c r="IP32" s="507" t="str">
        <f t="shared" si="231"/>
        <v/>
      </c>
      <c r="IQ32" s="507" t="str">
        <f t="shared" si="232"/>
        <v/>
      </c>
      <c r="IR32" s="507" t="str">
        <f t="shared" si="233"/>
        <v/>
      </c>
      <c r="IS32" s="507" t="str">
        <f t="shared" si="234"/>
        <v/>
      </c>
      <c r="IT32" s="507" t="str">
        <f t="shared" si="235"/>
        <v/>
      </c>
      <c r="IU32" s="507" t="str">
        <f t="shared" si="236"/>
        <v/>
      </c>
      <c r="IV32" s="507" t="str">
        <f t="shared" si="237"/>
        <v/>
      </c>
      <c r="IW32" s="507" t="str">
        <f t="shared" si="238"/>
        <v/>
      </c>
      <c r="IX32" s="507" t="str">
        <f t="shared" si="239"/>
        <v/>
      </c>
      <c r="IY32" s="507" t="str">
        <f t="shared" si="240"/>
        <v/>
      </c>
      <c r="IZ32" s="507" t="str">
        <f t="shared" si="241"/>
        <v/>
      </c>
      <c r="JA32" s="507" t="str">
        <f t="shared" si="242"/>
        <v/>
      </c>
      <c r="JB32" s="507" t="str">
        <f t="shared" si="243"/>
        <v/>
      </c>
      <c r="JC32" s="516">
        <f t="shared" si="244"/>
        <v>0</v>
      </c>
      <c r="JD32" s="516">
        <f t="shared" si="245"/>
        <v>0</v>
      </c>
      <c r="JE32" s="516">
        <f t="shared" si="246"/>
        <v>0</v>
      </c>
      <c r="JF32" s="516">
        <f t="shared" si="247"/>
        <v>0</v>
      </c>
      <c r="JG32" s="516">
        <f t="shared" si="248"/>
        <v>0</v>
      </c>
      <c r="JH32" s="516">
        <f t="shared" si="249"/>
        <v>0</v>
      </c>
      <c r="JI32" s="516">
        <f t="shared" si="250"/>
        <v>0</v>
      </c>
      <c r="JJ32" s="516">
        <f t="shared" si="251"/>
        <v>0</v>
      </c>
      <c r="JK32" s="516">
        <f t="shared" si="252"/>
        <v>0</v>
      </c>
      <c r="JL32" s="516">
        <f t="shared" si="253"/>
        <v>0</v>
      </c>
      <c r="JM32" s="516">
        <f t="shared" si="254"/>
        <v>0</v>
      </c>
      <c r="JN32" s="516">
        <f t="shared" si="255"/>
        <v>0</v>
      </c>
      <c r="JO32" s="516">
        <f t="shared" si="256"/>
        <v>0</v>
      </c>
      <c r="JP32" s="516">
        <f t="shared" si="257"/>
        <v>0</v>
      </c>
      <c r="JQ32" s="516">
        <f t="shared" si="258"/>
        <v>0</v>
      </c>
    </row>
    <row r="33" spans="1:296" ht="12" customHeight="1">
      <c r="A33" s="115" t="str">
        <f t="shared" si="0"/>
        <v/>
      </c>
      <c r="B33" s="2822" t="s">
        <v>1837</v>
      </c>
      <c r="C33" s="2823"/>
      <c r="D33" s="2824"/>
      <c r="E33" s="2825"/>
      <c r="F33" s="2825"/>
      <c r="G33" s="2825"/>
      <c r="H33" s="2825"/>
      <c r="I33" s="2825"/>
      <c r="J33" s="2826"/>
      <c r="K33" s="795">
        <f t="shared" si="1"/>
        <v>0</v>
      </c>
      <c r="L33" s="795">
        <f t="shared" si="2"/>
        <v>0</v>
      </c>
      <c r="M33" s="2827"/>
      <c r="N33" s="2827"/>
      <c r="O33" s="2827"/>
      <c r="P33" s="2828"/>
      <c r="Q33" s="1258" t="str">
        <f t="shared" si="3"/>
        <v/>
      </c>
      <c r="R33" s="1259" t="str">
        <f>IF(H33="","",IF(C33="Efficiency",Q33/($O$6*VLOOKUP(0,'DCA Underwriting Assumptions'!$J$132:$K$137,2,FALSE)),Q33/($O$6*VLOOKUP(C33,'DCA Underwriting Assumptions'!$J$132:$K$137,2,FALSE))))</f>
        <v/>
      </c>
      <c r="S33" s="2829"/>
      <c r="T33" s="2830"/>
      <c r="U33" s="2831"/>
      <c r="V33" s="2746"/>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0" t="str">
        <f t="shared" si="134"/>
        <v/>
      </c>
      <c r="EX33" s="517" t="str">
        <f t="shared" si="135"/>
        <v/>
      </c>
      <c r="EY33" s="517" t="str">
        <f t="shared" si="136"/>
        <v/>
      </c>
      <c r="EZ33" s="517" t="str">
        <f t="shared" si="137"/>
        <v/>
      </c>
      <c r="FA33" s="517" t="str">
        <f t="shared" si="138"/>
        <v/>
      </c>
      <c r="FB33" s="517" t="str">
        <f t="shared" si="139"/>
        <v/>
      </c>
      <c r="FC33" s="517" t="str">
        <f t="shared" si="140"/>
        <v/>
      </c>
      <c r="FD33" s="517" t="str">
        <f t="shared" si="141"/>
        <v/>
      </c>
      <c r="FE33" s="517" t="str">
        <f t="shared" si="142"/>
        <v/>
      </c>
      <c r="FF33" s="517" t="str">
        <f t="shared" si="143"/>
        <v/>
      </c>
      <c r="FG33" s="517" t="str">
        <f t="shared" si="144"/>
        <v/>
      </c>
      <c r="FH33" s="517" t="str">
        <f t="shared" si="145"/>
        <v/>
      </c>
      <c r="FI33" s="517" t="str">
        <f t="shared" si="146"/>
        <v/>
      </c>
      <c r="FJ33" s="517" t="str">
        <f t="shared" si="147"/>
        <v/>
      </c>
      <c r="FK33" s="517" t="str">
        <f t="shared" si="148"/>
        <v/>
      </c>
      <c r="FL33" s="517" t="str">
        <f t="shared" si="149"/>
        <v/>
      </c>
      <c r="FM33" s="517" t="str">
        <f t="shared" si="150"/>
        <v/>
      </c>
      <c r="FN33" s="517" t="str">
        <f t="shared" si="151"/>
        <v/>
      </c>
      <c r="FO33" s="517" t="str">
        <f t="shared" si="152"/>
        <v/>
      </c>
      <c r="FP33" s="517" t="str">
        <f t="shared" si="153"/>
        <v/>
      </c>
      <c r="FQ33" s="517" t="str">
        <f t="shared" si="154"/>
        <v/>
      </c>
      <c r="FR33" s="517" t="str">
        <f t="shared" si="155"/>
        <v/>
      </c>
      <c r="FS33" s="517" t="str">
        <f t="shared" si="156"/>
        <v/>
      </c>
      <c r="FT33" s="517" t="str">
        <f t="shared" si="157"/>
        <v/>
      </c>
      <c r="FU33" s="517" t="str">
        <f t="shared" si="158"/>
        <v/>
      </c>
      <c r="FV33" s="517" t="str">
        <f t="shared" si="159"/>
        <v/>
      </c>
      <c r="FW33" s="517" t="str">
        <f t="shared" si="160"/>
        <v/>
      </c>
      <c r="FX33" s="517" t="str">
        <f t="shared" si="161"/>
        <v/>
      </c>
      <c r="FY33" s="517" t="str">
        <f t="shared" si="162"/>
        <v/>
      </c>
      <c r="FZ33" s="517" t="str">
        <f t="shared" si="163"/>
        <v/>
      </c>
      <c r="GA33" s="517" t="str">
        <f t="shared" si="164"/>
        <v/>
      </c>
      <c r="GB33" s="517" t="str">
        <f t="shared" si="165"/>
        <v/>
      </c>
      <c r="GC33" s="517" t="str">
        <f t="shared" si="166"/>
        <v/>
      </c>
      <c r="GD33" s="517" t="str">
        <f t="shared" si="167"/>
        <v/>
      </c>
      <c r="GE33" s="517" t="str">
        <f t="shared" si="168"/>
        <v/>
      </c>
      <c r="GF33" s="517" t="str">
        <f t="shared" si="169"/>
        <v/>
      </c>
      <c r="GG33" s="517" t="str">
        <f t="shared" si="170"/>
        <v/>
      </c>
      <c r="GH33" s="517" t="str">
        <f t="shared" si="171"/>
        <v/>
      </c>
      <c r="GI33" s="517" t="str">
        <f t="shared" si="172"/>
        <v/>
      </c>
      <c r="GJ33" s="517" t="str">
        <f t="shared" si="173"/>
        <v/>
      </c>
      <c r="GK33" s="517" t="str">
        <f t="shared" si="174"/>
        <v/>
      </c>
      <c r="GL33" s="517" t="str">
        <f t="shared" si="175"/>
        <v/>
      </c>
      <c r="GM33" s="517" t="str">
        <f t="shared" si="176"/>
        <v/>
      </c>
      <c r="GN33" s="517" t="str">
        <f t="shared" si="177"/>
        <v/>
      </c>
      <c r="GO33" s="517" t="str">
        <f t="shared" si="178"/>
        <v/>
      </c>
      <c r="GP33" s="517" t="str">
        <f t="shared" si="179"/>
        <v/>
      </c>
      <c r="GQ33" s="517" t="str">
        <f t="shared" si="180"/>
        <v/>
      </c>
      <c r="GR33" s="517" t="str">
        <f t="shared" si="181"/>
        <v/>
      </c>
      <c r="GS33" s="517" t="str">
        <f t="shared" si="182"/>
        <v/>
      </c>
      <c r="GT33" s="517" t="str">
        <f t="shared" si="183"/>
        <v/>
      </c>
      <c r="GU33" s="517" t="str">
        <f t="shared" si="184"/>
        <v/>
      </c>
      <c r="GV33" s="517" t="str">
        <f t="shared" si="185"/>
        <v/>
      </c>
      <c r="GW33" s="517" t="str">
        <f t="shared" si="186"/>
        <v/>
      </c>
      <c r="GX33" s="517" t="str">
        <f t="shared" si="187"/>
        <v/>
      </c>
      <c r="GY33" s="517" t="str">
        <f t="shared" si="188"/>
        <v/>
      </c>
      <c r="GZ33" s="517" t="str">
        <f t="shared" si="189"/>
        <v/>
      </c>
      <c r="HA33" s="517" t="str">
        <f t="shared" si="190"/>
        <v/>
      </c>
      <c r="HB33" s="517" t="str">
        <f t="shared" si="191"/>
        <v/>
      </c>
      <c r="HC33" s="517" t="str">
        <f t="shared" si="192"/>
        <v/>
      </c>
      <c r="HD33" s="517" t="str">
        <f t="shared" si="193"/>
        <v/>
      </c>
      <c r="HE33" s="517" t="str">
        <f t="shared" si="194"/>
        <v/>
      </c>
      <c r="HF33" s="517" t="str">
        <f t="shared" si="195"/>
        <v/>
      </c>
      <c r="HG33" s="517" t="str">
        <f t="shared" si="196"/>
        <v/>
      </c>
      <c r="HH33" s="517" t="str">
        <f t="shared" si="197"/>
        <v/>
      </c>
      <c r="HI33" s="517" t="str">
        <f t="shared" si="198"/>
        <v/>
      </c>
      <c r="HJ33" s="517" t="str">
        <f t="shared" si="199"/>
        <v/>
      </c>
      <c r="HK33" s="517" t="str">
        <f t="shared" si="200"/>
        <v/>
      </c>
      <c r="HL33" s="517" t="str">
        <f t="shared" si="201"/>
        <v/>
      </c>
      <c r="HM33" s="517" t="str">
        <f t="shared" si="202"/>
        <v/>
      </c>
      <c r="HN33" s="517" t="str">
        <f t="shared" si="203"/>
        <v/>
      </c>
      <c r="HO33" s="517" t="str">
        <f t="shared" si="204"/>
        <v/>
      </c>
      <c r="HP33" s="517" t="str">
        <f t="shared" si="205"/>
        <v/>
      </c>
      <c r="HQ33" s="517" t="str">
        <f t="shared" si="206"/>
        <v/>
      </c>
      <c r="HR33" s="517" t="str">
        <f t="shared" si="207"/>
        <v/>
      </c>
      <c r="HS33" s="517" t="str">
        <f t="shared" si="208"/>
        <v/>
      </c>
      <c r="HT33" s="517" t="str">
        <f t="shared" si="209"/>
        <v/>
      </c>
      <c r="HU33" s="517" t="str">
        <f t="shared" si="210"/>
        <v/>
      </c>
      <c r="HV33" s="517" t="str">
        <f t="shared" si="211"/>
        <v/>
      </c>
      <c r="HW33" s="517" t="str">
        <f t="shared" si="212"/>
        <v/>
      </c>
      <c r="HX33" s="517" t="str">
        <f t="shared" si="213"/>
        <v/>
      </c>
      <c r="HY33" s="517" t="str">
        <f t="shared" si="214"/>
        <v/>
      </c>
      <c r="HZ33" s="517" t="str">
        <f t="shared" si="215"/>
        <v/>
      </c>
      <c r="IA33" s="517" t="str">
        <f t="shared" si="216"/>
        <v/>
      </c>
      <c r="IB33" s="517" t="str">
        <f t="shared" si="217"/>
        <v/>
      </c>
      <c r="IC33" s="517" t="str">
        <f t="shared" si="218"/>
        <v/>
      </c>
      <c r="ID33" s="518" t="str">
        <f t="shared" si="219"/>
        <v/>
      </c>
      <c r="IE33" s="518" t="str">
        <f t="shared" si="220"/>
        <v/>
      </c>
      <c r="IF33" s="518" t="str">
        <f t="shared" si="221"/>
        <v/>
      </c>
      <c r="IG33" s="518" t="str">
        <f t="shared" si="222"/>
        <v/>
      </c>
      <c r="IH33" s="518" t="str">
        <f t="shared" si="223"/>
        <v/>
      </c>
      <c r="II33" s="507" t="str">
        <f t="shared" si="224"/>
        <v/>
      </c>
      <c r="IJ33" s="507" t="str">
        <f t="shared" si="225"/>
        <v/>
      </c>
      <c r="IK33" s="507" t="str">
        <f t="shared" si="226"/>
        <v/>
      </c>
      <c r="IL33" s="507" t="str">
        <f t="shared" si="227"/>
        <v/>
      </c>
      <c r="IM33" s="507" t="str">
        <f t="shared" si="228"/>
        <v/>
      </c>
      <c r="IN33" s="507" t="str">
        <f t="shared" si="229"/>
        <v/>
      </c>
      <c r="IO33" s="507" t="str">
        <f t="shared" si="230"/>
        <v/>
      </c>
      <c r="IP33" s="507" t="str">
        <f t="shared" si="231"/>
        <v/>
      </c>
      <c r="IQ33" s="507" t="str">
        <f t="shared" si="232"/>
        <v/>
      </c>
      <c r="IR33" s="507" t="str">
        <f t="shared" si="233"/>
        <v/>
      </c>
      <c r="IS33" s="507" t="str">
        <f t="shared" si="234"/>
        <v/>
      </c>
      <c r="IT33" s="507" t="str">
        <f t="shared" si="235"/>
        <v/>
      </c>
      <c r="IU33" s="507" t="str">
        <f t="shared" si="236"/>
        <v/>
      </c>
      <c r="IV33" s="507" t="str">
        <f t="shared" si="237"/>
        <v/>
      </c>
      <c r="IW33" s="507" t="str">
        <f t="shared" si="238"/>
        <v/>
      </c>
      <c r="IX33" s="507" t="str">
        <f t="shared" si="239"/>
        <v/>
      </c>
      <c r="IY33" s="507" t="str">
        <f t="shared" si="240"/>
        <v/>
      </c>
      <c r="IZ33" s="507" t="str">
        <f t="shared" si="241"/>
        <v/>
      </c>
      <c r="JA33" s="507" t="str">
        <f t="shared" si="242"/>
        <v/>
      </c>
      <c r="JB33" s="507" t="str">
        <f t="shared" si="243"/>
        <v/>
      </c>
      <c r="JC33" s="516">
        <f t="shared" si="244"/>
        <v>0</v>
      </c>
      <c r="JD33" s="516">
        <f t="shared" si="245"/>
        <v>0</v>
      </c>
      <c r="JE33" s="516">
        <f t="shared" si="246"/>
        <v>0</v>
      </c>
      <c r="JF33" s="516">
        <f t="shared" si="247"/>
        <v>0</v>
      </c>
      <c r="JG33" s="516">
        <f t="shared" si="248"/>
        <v>0</v>
      </c>
      <c r="JH33" s="516">
        <f t="shared" si="249"/>
        <v>0</v>
      </c>
      <c r="JI33" s="516">
        <f t="shared" si="250"/>
        <v>0</v>
      </c>
      <c r="JJ33" s="516">
        <f t="shared" si="251"/>
        <v>0</v>
      </c>
      <c r="JK33" s="516">
        <f t="shared" si="252"/>
        <v>0</v>
      </c>
      <c r="JL33" s="516">
        <f t="shared" si="253"/>
        <v>0</v>
      </c>
      <c r="JM33" s="516">
        <f t="shared" si="254"/>
        <v>0</v>
      </c>
      <c r="JN33" s="516">
        <f t="shared" si="255"/>
        <v>0</v>
      </c>
      <c r="JO33" s="516">
        <f t="shared" si="256"/>
        <v>0</v>
      </c>
      <c r="JP33" s="516">
        <f t="shared" si="257"/>
        <v>0</v>
      </c>
      <c r="JQ33" s="516">
        <f t="shared" si="258"/>
        <v>0</v>
      </c>
    </row>
    <row r="34" spans="1:296" ht="12" customHeight="1">
      <c r="A34" s="115" t="str">
        <f t="shared" si="0"/>
        <v/>
      </c>
      <c r="B34" s="2822" t="s">
        <v>1837</v>
      </c>
      <c r="C34" s="2823"/>
      <c r="D34" s="2824"/>
      <c r="E34" s="2825"/>
      <c r="F34" s="2825"/>
      <c r="G34" s="2825"/>
      <c r="H34" s="2825"/>
      <c r="I34" s="2825"/>
      <c r="J34" s="2826"/>
      <c r="K34" s="795">
        <f t="shared" si="1"/>
        <v>0</v>
      </c>
      <c r="L34" s="795">
        <f t="shared" si="2"/>
        <v>0</v>
      </c>
      <c r="M34" s="2827"/>
      <c r="N34" s="2827"/>
      <c r="O34" s="2827"/>
      <c r="P34" s="2828"/>
      <c r="Q34" s="1258" t="str">
        <f t="shared" si="3"/>
        <v/>
      </c>
      <c r="R34" s="1259" t="str">
        <f>IF(H34="","",IF(C34="Efficiency",Q34/($O$6*VLOOKUP(0,'DCA Underwriting Assumptions'!$J$132:$K$137,2,FALSE)),Q34/($O$6*VLOOKUP(C34,'DCA Underwriting Assumptions'!$J$132:$K$137,2,FALSE))))</f>
        <v/>
      </c>
      <c r="S34" s="2829"/>
      <c r="T34" s="2830"/>
      <c r="U34" s="2831"/>
      <c r="V34" s="2746"/>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0" t="str">
        <f t="shared" si="134"/>
        <v/>
      </c>
      <c r="EX34" s="517" t="str">
        <f t="shared" si="135"/>
        <v/>
      </c>
      <c r="EY34" s="517" t="str">
        <f t="shared" si="136"/>
        <v/>
      </c>
      <c r="EZ34" s="517" t="str">
        <f t="shared" si="137"/>
        <v/>
      </c>
      <c r="FA34" s="517" t="str">
        <f t="shared" si="138"/>
        <v/>
      </c>
      <c r="FB34" s="517" t="str">
        <f t="shared" si="139"/>
        <v/>
      </c>
      <c r="FC34" s="517" t="str">
        <f t="shared" si="140"/>
        <v/>
      </c>
      <c r="FD34" s="517" t="str">
        <f t="shared" si="141"/>
        <v/>
      </c>
      <c r="FE34" s="517" t="str">
        <f t="shared" si="142"/>
        <v/>
      </c>
      <c r="FF34" s="517" t="str">
        <f t="shared" si="143"/>
        <v/>
      </c>
      <c r="FG34" s="517" t="str">
        <f t="shared" si="144"/>
        <v/>
      </c>
      <c r="FH34" s="517" t="str">
        <f t="shared" si="145"/>
        <v/>
      </c>
      <c r="FI34" s="517" t="str">
        <f t="shared" si="146"/>
        <v/>
      </c>
      <c r="FJ34" s="517" t="str">
        <f t="shared" si="147"/>
        <v/>
      </c>
      <c r="FK34" s="517" t="str">
        <f t="shared" si="148"/>
        <v/>
      </c>
      <c r="FL34" s="517" t="str">
        <f t="shared" si="149"/>
        <v/>
      </c>
      <c r="FM34" s="517" t="str">
        <f t="shared" si="150"/>
        <v/>
      </c>
      <c r="FN34" s="517" t="str">
        <f t="shared" si="151"/>
        <v/>
      </c>
      <c r="FO34" s="517" t="str">
        <f t="shared" si="152"/>
        <v/>
      </c>
      <c r="FP34" s="517" t="str">
        <f t="shared" si="153"/>
        <v/>
      </c>
      <c r="FQ34" s="517" t="str">
        <f t="shared" si="154"/>
        <v/>
      </c>
      <c r="FR34" s="517" t="str">
        <f t="shared" si="155"/>
        <v/>
      </c>
      <c r="FS34" s="517" t="str">
        <f t="shared" si="156"/>
        <v/>
      </c>
      <c r="FT34" s="517" t="str">
        <f t="shared" si="157"/>
        <v/>
      </c>
      <c r="FU34" s="517" t="str">
        <f t="shared" si="158"/>
        <v/>
      </c>
      <c r="FV34" s="517" t="str">
        <f t="shared" si="159"/>
        <v/>
      </c>
      <c r="FW34" s="517" t="str">
        <f t="shared" si="160"/>
        <v/>
      </c>
      <c r="FX34" s="517" t="str">
        <f t="shared" si="161"/>
        <v/>
      </c>
      <c r="FY34" s="517" t="str">
        <f t="shared" si="162"/>
        <v/>
      </c>
      <c r="FZ34" s="517" t="str">
        <f t="shared" si="163"/>
        <v/>
      </c>
      <c r="GA34" s="517" t="str">
        <f t="shared" si="164"/>
        <v/>
      </c>
      <c r="GB34" s="517" t="str">
        <f t="shared" si="165"/>
        <v/>
      </c>
      <c r="GC34" s="517" t="str">
        <f t="shared" si="166"/>
        <v/>
      </c>
      <c r="GD34" s="517" t="str">
        <f t="shared" si="167"/>
        <v/>
      </c>
      <c r="GE34" s="517" t="str">
        <f t="shared" si="168"/>
        <v/>
      </c>
      <c r="GF34" s="517" t="str">
        <f t="shared" si="169"/>
        <v/>
      </c>
      <c r="GG34" s="517" t="str">
        <f t="shared" si="170"/>
        <v/>
      </c>
      <c r="GH34" s="517" t="str">
        <f t="shared" si="171"/>
        <v/>
      </c>
      <c r="GI34" s="517" t="str">
        <f t="shared" si="172"/>
        <v/>
      </c>
      <c r="GJ34" s="517" t="str">
        <f t="shared" si="173"/>
        <v/>
      </c>
      <c r="GK34" s="517" t="str">
        <f t="shared" si="174"/>
        <v/>
      </c>
      <c r="GL34" s="517" t="str">
        <f t="shared" si="175"/>
        <v/>
      </c>
      <c r="GM34" s="517" t="str">
        <f t="shared" si="176"/>
        <v/>
      </c>
      <c r="GN34" s="517" t="str">
        <f t="shared" si="177"/>
        <v/>
      </c>
      <c r="GO34" s="517" t="str">
        <f t="shared" si="178"/>
        <v/>
      </c>
      <c r="GP34" s="517" t="str">
        <f t="shared" si="179"/>
        <v/>
      </c>
      <c r="GQ34" s="517" t="str">
        <f t="shared" si="180"/>
        <v/>
      </c>
      <c r="GR34" s="517" t="str">
        <f t="shared" si="181"/>
        <v/>
      </c>
      <c r="GS34" s="517" t="str">
        <f t="shared" si="182"/>
        <v/>
      </c>
      <c r="GT34" s="517" t="str">
        <f t="shared" si="183"/>
        <v/>
      </c>
      <c r="GU34" s="517" t="str">
        <f t="shared" si="184"/>
        <v/>
      </c>
      <c r="GV34" s="517" t="str">
        <f t="shared" si="185"/>
        <v/>
      </c>
      <c r="GW34" s="517" t="str">
        <f t="shared" si="186"/>
        <v/>
      </c>
      <c r="GX34" s="517" t="str">
        <f t="shared" si="187"/>
        <v/>
      </c>
      <c r="GY34" s="517" t="str">
        <f t="shared" si="188"/>
        <v/>
      </c>
      <c r="GZ34" s="517" t="str">
        <f t="shared" si="189"/>
        <v/>
      </c>
      <c r="HA34" s="517" t="str">
        <f t="shared" si="190"/>
        <v/>
      </c>
      <c r="HB34" s="517" t="str">
        <f t="shared" si="191"/>
        <v/>
      </c>
      <c r="HC34" s="517" t="str">
        <f t="shared" si="192"/>
        <v/>
      </c>
      <c r="HD34" s="517" t="str">
        <f t="shared" si="193"/>
        <v/>
      </c>
      <c r="HE34" s="517" t="str">
        <f t="shared" si="194"/>
        <v/>
      </c>
      <c r="HF34" s="517" t="str">
        <f t="shared" si="195"/>
        <v/>
      </c>
      <c r="HG34" s="517" t="str">
        <f t="shared" si="196"/>
        <v/>
      </c>
      <c r="HH34" s="517" t="str">
        <f t="shared" si="197"/>
        <v/>
      </c>
      <c r="HI34" s="517" t="str">
        <f t="shared" si="198"/>
        <v/>
      </c>
      <c r="HJ34" s="517" t="str">
        <f t="shared" si="199"/>
        <v/>
      </c>
      <c r="HK34" s="517" t="str">
        <f t="shared" si="200"/>
        <v/>
      </c>
      <c r="HL34" s="517" t="str">
        <f t="shared" si="201"/>
        <v/>
      </c>
      <c r="HM34" s="517" t="str">
        <f t="shared" si="202"/>
        <v/>
      </c>
      <c r="HN34" s="517" t="str">
        <f t="shared" si="203"/>
        <v/>
      </c>
      <c r="HO34" s="517" t="str">
        <f t="shared" si="204"/>
        <v/>
      </c>
      <c r="HP34" s="517" t="str">
        <f t="shared" si="205"/>
        <v/>
      </c>
      <c r="HQ34" s="517" t="str">
        <f t="shared" si="206"/>
        <v/>
      </c>
      <c r="HR34" s="517" t="str">
        <f t="shared" si="207"/>
        <v/>
      </c>
      <c r="HS34" s="517" t="str">
        <f t="shared" si="208"/>
        <v/>
      </c>
      <c r="HT34" s="517" t="str">
        <f t="shared" si="209"/>
        <v/>
      </c>
      <c r="HU34" s="517" t="str">
        <f t="shared" si="210"/>
        <v/>
      </c>
      <c r="HV34" s="517" t="str">
        <f t="shared" si="211"/>
        <v/>
      </c>
      <c r="HW34" s="517" t="str">
        <f t="shared" si="212"/>
        <v/>
      </c>
      <c r="HX34" s="517" t="str">
        <f t="shared" si="213"/>
        <v/>
      </c>
      <c r="HY34" s="517" t="str">
        <f t="shared" si="214"/>
        <v/>
      </c>
      <c r="HZ34" s="517" t="str">
        <f t="shared" si="215"/>
        <v/>
      </c>
      <c r="IA34" s="517" t="str">
        <f t="shared" si="216"/>
        <v/>
      </c>
      <c r="IB34" s="517" t="str">
        <f t="shared" si="217"/>
        <v/>
      </c>
      <c r="IC34" s="517" t="str">
        <f t="shared" si="218"/>
        <v/>
      </c>
      <c r="ID34" s="518" t="str">
        <f t="shared" si="219"/>
        <v/>
      </c>
      <c r="IE34" s="518" t="str">
        <f t="shared" si="220"/>
        <v/>
      </c>
      <c r="IF34" s="518" t="str">
        <f t="shared" si="221"/>
        <v/>
      </c>
      <c r="IG34" s="518" t="str">
        <f t="shared" si="222"/>
        <v/>
      </c>
      <c r="IH34" s="518" t="str">
        <f t="shared" si="223"/>
        <v/>
      </c>
      <c r="II34" s="507" t="str">
        <f t="shared" si="224"/>
        <v/>
      </c>
      <c r="IJ34" s="507" t="str">
        <f t="shared" si="225"/>
        <v/>
      </c>
      <c r="IK34" s="507" t="str">
        <f t="shared" si="226"/>
        <v/>
      </c>
      <c r="IL34" s="507" t="str">
        <f t="shared" si="227"/>
        <v/>
      </c>
      <c r="IM34" s="507" t="str">
        <f t="shared" si="228"/>
        <v/>
      </c>
      <c r="IN34" s="507" t="str">
        <f t="shared" si="229"/>
        <v/>
      </c>
      <c r="IO34" s="507" t="str">
        <f t="shared" si="230"/>
        <v/>
      </c>
      <c r="IP34" s="507" t="str">
        <f t="shared" si="231"/>
        <v/>
      </c>
      <c r="IQ34" s="507" t="str">
        <f t="shared" si="232"/>
        <v/>
      </c>
      <c r="IR34" s="507" t="str">
        <f t="shared" si="233"/>
        <v/>
      </c>
      <c r="IS34" s="507" t="str">
        <f t="shared" si="234"/>
        <v/>
      </c>
      <c r="IT34" s="507" t="str">
        <f t="shared" si="235"/>
        <v/>
      </c>
      <c r="IU34" s="507" t="str">
        <f t="shared" si="236"/>
        <v/>
      </c>
      <c r="IV34" s="507" t="str">
        <f t="shared" si="237"/>
        <v/>
      </c>
      <c r="IW34" s="507" t="str">
        <f t="shared" si="238"/>
        <v/>
      </c>
      <c r="IX34" s="507" t="str">
        <f t="shared" si="239"/>
        <v/>
      </c>
      <c r="IY34" s="507" t="str">
        <f t="shared" si="240"/>
        <v/>
      </c>
      <c r="IZ34" s="507" t="str">
        <f t="shared" si="241"/>
        <v/>
      </c>
      <c r="JA34" s="507" t="str">
        <f t="shared" si="242"/>
        <v/>
      </c>
      <c r="JB34" s="507" t="str">
        <f t="shared" si="243"/>
        <v/>
      </c>
      <c r="JC34" s="516">
        <f t="shared" si="244"/>
        <v>0</v>
      </c>
      <c r="JD34" s="516">
        <f t="shared" si="245"/>
        <v>0</v>
      </c>
      <c r="JE34" s="516">
        <f t="shared" si="246"/>
        <v>0</v>
      </c>
      <c r="JF34" s="516">
        <f t="shared" si="247"/>
        <v>0</v>
      </c>
      <c r="JG34" s="516">
        <f t="shared" si="248"/>
        <v>0</v>
      </c>
      <c r="JH34" s="516">
        <f t="shared" si="249"/>
        <v>0</v>
      </c>
      <c r="JI34" s="516">
        <f t="shared" si="250"/>
        <v>0</v>
      </c>
      <c r="JJ34" s="516">
        <f t="shared" si="251"/>
        <v>0</v>
      </c>
      <c r="JK34" s="516">
        <f t="shared" si="252"/>
        <v>0</v>
      </c>
      <c r="JL34" s="516">
        <f t="shared" si="253"/>
        <v>0</v>
      </c>
      <c r="JM34" s="516">
        <f t="shared" si="254"/>
        <v>0</v>
      </c>
      <c r="JN34" s="516">
        <f t="shared" si="255"/>
        <v>0</v>
      </c>
      <c r="JO34" s="516">
        <f t="shared" si="256"/>
        <v>0</v>
      </c>
      <c r="JP34" s="516">
        <f t="shared" si="257"/>
        <v>0</v>
      </c>
      <c r="JQ34" s="516">
        <f t="shared" si="258"/>
        <v>0</v>
      </c>
    </row>
    <row r="35" spans="1:296" ht="12" customHeight="1">
      <c r="A35" s="115" t="str">
        <f t="shared" si="0"/>
        <v/>
      </c>
      <c r="B35" s="2822" t="s">
        <v>1837</v>
      </c>
      <c r="C35" s="2823"/>
      <c r="D35" s="2824"/>
      <c r="E35" s="2825"/>
      <c r="F35" s="2825"/>
      <c r="G35" s="2825"/>
      <c r="H35" s="2825"/>
      <c r="I35" s="2825"/>
      <c r="J35" s="2826"/>
      <c r="K35" s="795">
        <f t="shared" si="1"/>
        <v>0</v>
      </c>
      <c r="L35" s="795">
        <f t="shared" si="2"/>
        <v>0</v>
      </c>
      <c r="M35" s="2827"/>
      <c r="N35" s="2827"/>
      <c r="O35" s="2827"/>
      <c r="P35" s="2828"/>
      <c r="Q35" s="1258" t="str">
        <f t="shared" si="3"/>
        <v/>
      </c>
      <c r="R35" s="1259" t="str">
        <f>IF(H35="","",IF(C35="Efficiency",Q35/($O$6*VLOOKUP(0,'DCA Underwriting Assumptions'!$J$132:$K$137,2,FALSE)),Q35/($O$6*VLOOKUP(C35,'DCA Underwriting Assumptions'!$J$132:$K$137,2,FALSE))))</f>
        <v/>
      </c>
      <c r="S35" s="2829"/>
      <c r="T35" s="2830"/>
      <c r="U35" s="2831"/>
      <c r="V35" s="2746"/>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0" t="str">
        <f t="shared" si="134"/>
        <v/>
      </c>
      <c r="EX35" s="517" t="str">
        <f t="shared" si="135"/>
        <v/>
      </c>
      <c r="EY35" s="517" t="str">
        <f t="shared" si="136"/>
        <v/>
      </c>
      <c r="EZ35" s="517" t="str">
        <f t="shared" si="137"/>
        <v/>
      </c>
      <c r="FA35" s="517" t="str">
        <f t="shared" si="138"/>
        <v/>
      </c>
      <c r="FB35" s="517" t="str">
        <f t="shared" si="139"/>
        <v/>
      </c>
      <c r="FC35" s="517" t="str">
        <f t="shared" si="140"/>
        <v/>
      </c>
      <c r="FD35" s="517" t="str">
        <f t="shared" si="141"/>
        <v/>
      </c>
      <c r="FE35" s="517" t="str">
        <f t="shared" si="142"/>
        <v/>
      </c>
      <c r="FF35" s="517" t="str">
        <f t="shared" si="143"/>
        <v/>
      </c>
      <c r="FG35" s="517" t="str">
        <f t="shared" si="144"/>
        <v/>
      </c>
      <c r="FH35" s="517" t="str">
        <f t="shared" si="145"/>
        <v/>
      </c>
      <c r="FI35" s="517" t="str">
        <f t="shared" si="146"/>
        <v/>
      </c>
      <c r="FJ35" s="517" t="str">
        <f t="shared" si="147"/>
        <v/>
      </c>
      <c r="FK35" s="517" t="str">
        <f t="shared" si="148"/>
        <v/>
      </c>
      <c r="FL35" s="517" t="str">
        <f t="shared" si="149"/>
        <v/>
      </c>
      <c r="FM35" s="517" t="str">
        <f t="shared" si="150"/>
        <v/>
      </c>
      <c r="FN35" s="517" t="str">
        <f t="shared" si="151"/>
        <v/>
      </c>
      <c r="FO35" s="517" t="str">
        <f t="shared" si="152"/>
        <v/>
      </c>
      <c r="FP35" s="517" t="str">
        <f t="shared" si="153"/>
        <v/>
      </c>
      <c r="FQ35" s="517" t="str">
        <f t="shared" si="154"/>
        <v/>
      </c>
      <c r="FR35" s="517" t="str">
        <f t="shared" si="155"/>
        <v/>
      </c>
      <c r="FS35" s="517" t="str">
        <f t="shared" si="156"/>
        <v/>
      </c>
      <c r="FT35" s="517" t="str">
        <f t="shared" si="157"/>
        <v/>
      </c>
      <c r="FU35" s="517" t="str">
        <f t="shared" si="158"/>
        <v/>
      </c>
      <c r="FV35" s="517" t="str">
        <f t="shared" si="159"/>
        <v/>
      </c>
      <c r="FW35" s="517" t="str">
        <f t="shared" si="160"/>
        <v/>
      </c>
      <c r="FX35" s="517" t="str">
        <f t="shared" si="161"/>
        <v/>
      </c>
      <c r="FY35" s="517" t="str">
        <f t="shared" si="162"/>
        <v/>
      </c>
      <c r="FZ35" s="517" t="str">
        <f t="shared" si="163"/>
        <v/>
      </c>
      <c r="GA35" s="517" t="str">
        <f t="shared" si="164"/>
        <v/>
      </c>
      <c r="GB35" s="517" t="str">
        <f t="shared" si="165"/>
        <v/>
      </c>
      <c r="GC35" s="517" t="str">
        <f t="shared" si="166"/>
        <v/>
      </c>
      <c r="GD35" s="517" t="str">
        <f t="shared" si="167"/>
        <v/>
      </c>
      <c r="GE35" s="517" t="str">
        <f t="shared" si="168"/>
        <v/>
      </c>
      <c r="GF35" s="517" t="str">
        <f t="shared" si="169"/>
        <v/>
      </c>
      <c r="GG35" s="517" t="str">
        <f t="shared" si="170"/>
        <v/>
      </c>
      <c r="GH35" s="517" t="str">
        <f t="shared" si="171"/>
        <v/>
      </c>
      <c r="GI35" s="517" t="str">
        <f t="shared" si="172"/>
        <v/>
      </c>
      <c r="GJ35" s="517" t="str">
        <f t="shared" si="173"/>
        <v/>
      </c>
      <c r="GK35" s="517" t="str">
        <f t="shared" si="174"/>
        <v/>
      </c>
      <c r="GL35" s="517" t="str">
        <f t="shared" si="175"/>
        <v/>
      </c>
      <c r="GM35" s="517" t="str">
        <f t="shared" si="176"/>
        <v/>
      </c>
      <c r="GN35" s="517" t="str">
        <f t="shared" si="177"/>
        <v/>
      </c>
      <c r="GO35" s="517" t="str">
        <f t="shared" si="178"/>
        <v/>
      </c>
      <c r="GP35" s="517" t="str">
        <f t="shared" si="179"/>
        <v/>
      </c>
      <c r="GQ35" s="517" t="str">
        <f t="shared" si="180"/>
        <v/>
      </c>
      <c r="GR35" s="517" t="str">
        <f t="shared" si="181"/>
        <v/>
      </c>
      <c r="GS35" s="517" t="str">
        <f t="shared" si="182"/>
        <v/>
      </c>
      <c r="GT35" s="517" t="str">
        <f t="shared" si="183"/>
        <v/>
      </c>
      <c r="GU35" s="517" t="str">
        <f t="shared" si="184"/>
        <v/>
      </c>
      <c r="GV35" s="517" t="str">
        <f t="shared" si="185"/>
        <v/>
      </c>
      <c r="GW35" s="517" t="str">
        <f t="shared" si="186"/>
        <v/>
      </c>
      <c r="GX35" s="517" t="str">
        <f t="shared" si="187"/>
        <v/>
      </c>
      <c r="GY35" s="517" t="str">
        <f t="shared" si="188"/>
        <v/>
      </c>
      <c r="GZ35" s="517" t="str">
        <f t="shared" si="189"/>
        <v/>
      </c>
      <c r="HA35" s="517" t="str">
        <f t="shared" si="190"/>
        <v/>
      </c>
      <c r="HB35" s="517" t="str">
        <f t="shared" si="191"/>
        <v/>
      </c>
      <c r="HC35" s="517" t="str">
        <f t="shared" si="192"/>
        <v/>
      </c>
      <c r="HD35" s="517" t="str">
        <f t="shared" si="193"/>
        <v/>
      </c>
      <c r="HE35" s="517" t="str">
        <f t="shared" si="194"/>
        <v/>
      </c>
      <c r="HF35" s="517" t="str">
        <f t="shared" si="195"/>
        <v/>
      </c>
      <c r="HG35" s="517" t="str">
        <f t="shared" si="196"/>
        <v/>
      </c>
      <c r="HH35" s="517" t="str">
        <f t="shared" si="197"/>
        <v/>
      </c>
      <c r="HI35" s="517" t="str">
        <f t="shared" si="198"/>
        <v/>
      </c>
      <c r="HJ35" s="517" t="str">
        <f t="shared" si="199"/>
        <v/>
      </c>
      <c r="HK35" s="517" t="str">
        <f t="shared" si="200"/>
        <v/>
      </c>
      <c r="HL35" s="517" t="str">
        <f t="shared" si="201"/>
        <v/>
      </c>
      <c r="HM35" s="517" t="str">
        <f t="shared" si="202"/>
        <v/>
      </c>
      <c r="HN35" s="517" t="str">
        <f t="shared" si="203"/>
        <v/>
      </c>
      <c r="HO35" s="517" t="str">
        <f t="shared" si="204"/>
        <v/>
      </c>
      <c r="HP35" s="517" t="str">
        <f t="shared" si="205"/>
        <v/>
      </c>
      <c r="HQ35" s="517" t="str">
        <f t="shared" si="206"/>
        <v/>
      </c>
      <c r="HR35" s="517" t="str">
        <f t="shared" si="207"/>
        <v/>
      </c>
      <c r="HS35" s="517" t="str">
        <f t="shared" si="208"/>
        <v/>
      </c>
      <c r="HT35" s="517" t="str">
        <f t="shared" si="209"/>
        <v/>
      </c>
      <c r="HU35" s="517" t="str">
        <f t="shared" si="210"/>
        <v/>
      </c>
      <c r="HV35" s="517" t="str">
        <f t="shared" si="211"/>
        <v/>
      </c>
      <c r="HW35" s="517" t="str">
        <f t="shared" si="212"/>
        <v/>
      </c>
      <c r="HX35" s="517" t="str">
        <f t="shared" si="213"/>
        <v/>
      </c>
      <c r="HY35" s="517" t="str">
        <f t="shared" si="214"/>
        <v/>
      </c>
      <c r="HZ35" s="517" t="str">
        <f t="shared" si="215"/>
        <v/>
      </c>
      <c r="IA35" s="517" t="str">
        <f t="shared" si="216"/>
        <v/>
      </c>
      <c r="IB35" s="517" t="str">
        <f t="shared" si="217"/>
        <v/>
      </c>
      <c r="IC35" s="517" t="str">
        <f t="shared" si="218"/>
        <v/>
      </c>
      <c r="ID35" s="518" t="str">
        <f t="shared" si="219"/>
        <v/>
      </c>
      <c r="IE35" s="518" t="str">
        <f t="shared" si="220"/>
        <v/>
      </c>
      <c r="IF35" s="518" t="str">
        <f t="shared" si="221"/>
        <v/>
      </c>
      <c r="IG35" s="518" t="str">
        <f t="shared" si="222"/>
        <v/>
      </c>
      <c r="IH35" s="518" t="str">
        <f t="shared" si="223"/>
        <v/>
      </c>
      <c r="II35" s="507" t="str">
        <f t="shared" si="224"/>
        <v/>
      </c>
      <c r="IJ35" s="507" t="str">
        <f t="shared" si="225"/>
        <v/>
      </c>
      <c r="IK35" s="507" t="str">
        <f t="shared" si="226"/>
        <v/>
      </c>
      <c r="IL35" s="507" t="str">
        <f t="shared" si="227"/>
        <v/>
      </c>
      <c r="IM35" s="507" t="str">
        <f t="shared" si="228"/>
        <v/>
      </c>
      <c r="IN35" s="507" t="str">
        <f t="shared" si="229"/>
        <v/>
      </c>
      <c r="IO35" s="507" t="str">
        <f t="shared" si="230"/>
        <v/>
      </c>
      <c r="IP35" s="507" t="str">
        <f t="shared" si="231"/>
        <v/>
      </c>
      <c r="IQ35" s="507" t="str">
        <f t="shared" si="232"/>
        <v/>
      </c>
      <c r="IR35" s="507" t="str">
        <f t="shared" si="233"/>
        <v/>
      </c>
      <c r="IS35" s="507" t="str">
        <f t="shared" si="234"/>
        <v/>
      </c>
      <c r="IT35" s="507" t="str">
        <f t="shared" si="235"/>
        <v/>
      </c>
      <c r="IU35" s="507" t="str">
        <f t="shared" si="236"/>
        <v/>
      </c>
      <c r="IV35" s="507" t="str">
        <f t="shared" si="237"/>
        <v/>
      </c>
      <c r="IW35" s="507" t="str">
        <f t="shared" si="238"/>
        <v/>
      </c>
      <c r="IX35" s="507" t="str">
        <f t="shared" si="239"/>
        <v/>
      </c>
      <c r="IY35" s="507" t="str">
        <f t="shared" si="240"/>
        <v/>
      </c>
      <c r="IZ35" s="507" t="str">
        <f t="shared" si="241"/>
        <v/>
      </c>
      <c r="JA35" s="507" t="str">
        <f t="shared" si="242"/>
        <v/>
      </c>
      <c r="JB35" s="507" t="str">
        <f t="shared" si="243"/>
        <v/>
      </c>
      <c r="JC35" s="516">
        <f t="shared" si="244"/>
        <v>0</v>
      </c>
      <c r="JD35" s="516">
        <f t="shared" si="245"/>
        <v>0</v>
      </c>
      <c r="JE35" s="516">
        <f t="shared" si="246"/>
        <v>0</v>
      </c>
      <c r="JF35" s="516">
        <f t="shared" si="247"/>
        <v>0</v>
      </c>
      <c r="JG35" s="516">
        <f t="shared" si="248"/>
        <v>0</v>
      </c>
      <c r="JH35" s="516">
        <f t="shared" si="249"/>
        <v>0</v>
      </c>
      <c r="JI35" s="516">
        <f t="shared" si="250"/>
        <v>0</v>
      </c>
      <c r="JJ35" s="516">
        <f t="shared" si="251"/>
        <v>0</v>
      </c>
      <c r="JK35" s="516">
        <f t="shared" si="252"/>
        <v>0</v>
      </c>
      <c r="JL35" s="516">
        <f t="shared" si="253"/>
        <v>0</v>
      </c>
      <c r="JM35" s="516">
        <f t="shared" si="254"/>
        <v>0</v>
      </c>
      <c r="JN35" s="516">
        <f t="shared" si="255"/>
        <v>0</v>
      </c>
      <c r="JO35" s="516">
        <f t="shared" si="256"/>
        <v>0</v>
      </c>
      <c r="JP35" s="516">
        <f t="shared" si="257"/>
        <v>0</v>
      </c>
      <c r="JQ35" s="516">
        <f t="shared" si="258"/>
        <v>0</v>
      </c>
    </row>
    <row r="36" spans="1:296" ht="12" customHeight="1">
      <c r="A36" s="115" t="str">
        <f t="shared" si="0"/>
        <v/>
      </c>
      <c r="B36" s="2822" t="s">
        <v>1837</v>
      </c>
      <c r="C36" s="2823"/>
      <c r="D36" s="2824"/>
      <c r="E36" s="2825"/>
      <c r="F36" s="2825"/>
      <c r="G36" s="2825"/>
      <c r="H36" s="2825"/>
      <c r="I36" s="2825"/>
      <c r="J36" s="2826"/>
      <c r="K36" s="795">
        <f t="shared" si="1"/>
        <v>0</v>
      </c>
      <c r="L36" s="795">
        <f t="shared" si="2"/>
        <v>0</v>
      </c>
      <c r="M36" s="2827"/>
      <c r="N36" s="2827"/>
      <c r="O36" s="2827"/>
      <c r="P36" s="2828"/>
      <c r="Q36" s="1258" t="str">
        <f t="shared" si="3"/>
        <v/>
      </c>
      <c r="R36" s="1259" t="str">
        <f>IF(H36="","",IF(C36="Efficiency",Q36/($O$6*VLOOKUP(0,'DCA Underwriting Assumptions'!$J$132:$K$137,2,FALSE)),Q36/($O$6*VLOOKUP(C36,'DCA Underwriting Assumptions'!$J$132:$K$137,2,FALSE))))</f>
        <v/>
      </c>
      <c r="S36" s="2829"/>
      <c r="T36" s="2830"/>
      <c r="U36" s="2831"/>
      <c r="V36" s="2746"/>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0" t="str">
        <f t="shared" si="134"/>
        <v/>
      </c>
      <c r="EX36" s="517" t="str">
        <f t="shared" si="135"/>
        <v/>
      </c>
      <c r="EY36" s="517" t="str">
        <f t="shared" si="136"/>
        <v/>
      </c>
      <c r="EZ36" s="517" t="str">
        <f t="shared" si="137"/>
        <v/>
      </c>
      <c r="FA36" s="517" t="str">
        <f t="shared" si="138"/>
        <v/>
      </c>
      <c r="FB36" s="517" t="str">
        <f t="shared" si="139"/>
        <v/>
      </c>
      <c r="FC36" s="517" t="str">
        <f t="shared" si="140"/>
        <v/>
      </c>
      <c r="FD36" s="517" t="str">
        <f t="shared" si="141"/>
        <v/>
      </c>
      <c r="FE36" s="517" t="str">
        <f t="shared" si="142"/>
        <v/>
      </c>
      <c r="FF36" s="517" t="str">
        <f t="shared" si="143"/>
        <v/>
      </c>
      <c r="FG36" s="517" t="str">
        <f t="shared" si="144"/>
        <v/>
      </c>
      <c r="FH36" s="517" t="str">
        <f t="shared" si="145"/>
        <v/>
      </c>
      <c r="FI36" s="517" t="str">
        <f t="shared" si="146"/>
        <v/>
      </c>
      <c r="FJ36" s="517" t="str">
        <f t="shared" si="147"/>
        <v/>
      </c>
      <c r="FK36" s="517" t="str">
        <f t="shared" si="148"/>
        <v/>
      </c>
      <c r="FL36" s="517" t="str">
        <f t="shared" si="149"/>
        <v/>
      </c>
      <c r="FM36" s="517" t="str">
        <f t="shared" si="150"/>
        <v/>
      </c>
      <c r="FN36" s="517" t="str">
        <f t="shared" si="151"/>
        <v/>
      </c>
      <c r="FO36" s="517" t="str">
        <f t="shared" si="152"/>
        <v/>
      </c>
      <c r="FP36" s="517" t="str">
        <f t="shared" si="153"/>
        <v/>
      </c>
      <c r="FQ36" s="517" t="str">
        <f t="shared" si="154"/>
        <v/>
      </c>
      <c r="FR36" s="517" t="str">
        <f t="shared" si="155"/>
        <v/>
      </c>
      <c r="FS36" s="517" t="str">
        <f t="shared" si="156"/>
        <v/>
      </c>
      <c r="FT36" s="517" t="str">
        <f t="shared" si="157"/>
        <v/>
      </c>
      <c r="FU36" s="517" t="str">
        <f t="shared" si="158"/>
        <v/>
      </c>
      <c r="FV36" s="517" t="str">
        <f t="shared" si="159"/>
        <v/>
      </c>
      <c r="FW36" s="517" t="str">
        <f t="shared" si="160"/>
        <v/>
      </c>
      <c r="FX36" s="517" t="str">
        <f t="shared" si="161"/>
        <v/>
      </c>
      <c r="FY36" s="517" t="str">
        <f t="shared" si="162"/>
        <v/>
      </c>
      <c r="FZ36" s="517" t="str">
        <f t="shared" si="163"/>
        <v/>
      </c>
      <c r="GA36" s="517" t="str">
        <f t="shared" si="164"/>
        <v/>
      </c>
      <c r="GB36" s="517" t="str">
        <f t="shared" si="165"/>
        <v/>
      </c>
      <c r="GC36" s="517" t="str">
        <f t="shared" si="166"/>
        <v/>
      </c>
      <c r="GD36" s="517" t="str">
        <f t="shared" si="167"/>
        <v/>
      </c>
      <c r="GE36" s="517" t="str">
        <f t="shared" si="168"/>
        <v/>
      </c>
      <c r="GF36" s="517" t="str">
        <f t="shared" si="169"/>
        <v/>
      </c>
      <c r="GG36" s="517" t="str">
        <f t="shared" si="170"/>
        <v/>
      </c>
      <c r="GH36" s="517" t="str">
        <f t="shared" si="171"/>
        <v/>
      </c>
      <c r="GI36" s="517" t="str">
        <f t="shared" si="172"/>
        <v/>
      </c>
      <c r="GJ36" s="517" t="str">
        <f t="shared" si="173"/>
        <v/>
      </c>
      <c r="GK36" s="517" t="str">
        <f t="shared" si="174"/>
        <v/>
      </c>
      <c r="GL36" s="517" t="str">
        <f t="shared" si="175"/>
        <v/>
      </c>
      <c r="GM36" s="517" t="str">
        <f t="shared" si="176"/>
        <v/>
      </c>
      <c r="GN36" s="517" t="str">
        <f t="shared" si="177"/>
        <v/>
      </c>
      <c r="GO36" s="517" t="str">
        <f t="shared" si="178"/>
        <v/>
      </c>
      <c r="GP36" s="517" t="str">
        <f t="shared" si="179"/>
        <v/>
      </c>
      <c r="GQ36" s="517" t="str">
        <f t="shared" si="180"/>
        <v/>
      </c>
      <c r="GR36" s="517" t="str">
        <f t="shared" si="181"/>
        <v/>
      </c>
      <c r="GS36" s="517" t="str">
        <f t="shared" si="182"/>
        <v/>
      </c>
      <c r="GT36" s="517" t="str">
        <f t="shared" si="183"/>
        <v/>
      </c>
      <c r="GU36" s="517" t="str">
        <f t="shared" si="184"/>
        <v/>
      </c>
      <c r="GV36" s="517" t="str">
        <f t="shared" si="185"/>
        <v/>
      </c>
      <c r="GW36" s="517" t="str">
        <f t="shared" si="186"/>
        <v/>
      </c>
      <c r="GX36" s="517" t="str">
        <f t="shared" si="187"/>
        <v/>
      </c>
      <c r="GY36" s="517" t="str">
        <f t="shared" si="188"/>
        <v/>
      </c>
      <c r="GZ36" s="517" t="str">
        <f t="shared" si="189"/>
        <v/>
      </c>
      <c r="HA36" s="517" t="str">
        <f t="shared" si="190"/>
        <v/>
      </c>
      <c r="HB36" s="517" t="str">
        <f t="shared" si="191"/>
        <v/>
      </c>
      <c r="HC36" s="517" t="str">
        <f t="shared" si="192"/>
        <v/>
      </c>
      <c r="HD36" s="517" t="str">
        <f t="shared" si="193"/>
        <v/>
      </c>
      <c r="HE36" s="517" t="str">
        <f t="shared" si="194"/>
        <v/>
      </c>
      <c r="HF36" s="517" t="str">
        <f t="shared" si="195"/>
        <v/>
      </c>
      <c r="HG36" s="517" t="str">
        <f t="shared" si="196"/>
        <v/>
      </c>
      <c r="HH36" s="517" t="str">
        <f t="shared" si="197"/>
        <v/>
      </c>
      <c r="HI36" s="517" t="str">
        <f t="shared" si="198"/>
        <v/>
      </c>
      <c r="HJ36" s="517" t="str">
        <f t="shared" si="199"/>
        <v/>
      </c>
      <c r="HK36" s="517" t="str">
        <f t="shared" si="200"/>
        <v/>
      </c>
      <c r="HL36" s="517" t="str">
        <f t="shared" si="201"/>
        <v/>
      </c>
      <c r="HM36" s="517" t="str">
        <f t="shared" si="202"/>
        <v/>
      </c>
      <c r="HN36" s="517" t="str">
        <f t="shared" si="203"/>
        <v/>
      </c>
      <c r="HO36" s="517" t="str">
        <f t="shared" si="204"/>
        <v/>
      </c>
      <c r="HP36" s="517" t="str">
        <f t="shared" si="205"/>
        <v/>
      </c>
      <c r="HQ36" s="517" t="str">
        <f t="shared" si="206"/>
        <v/>
      </c>
      <c r="HR36" s="517" t="str">
        <f t="shared" si="207"/>
        <v/>
      </c>
      <c r="HS36" s="517" t="str">
        <f t="shared" si="208"/>
        <v/>
      </c>
      <c r="HT36" s="517" t="str">
        <f t="shared" si="209"/>
        <v/>
      </c>
      <c r="HU36" s="517" t="str">
        <f t="shared" si="210"/>
        <v/>
      </c>
      <c r="HV36" s="517" t="str">
        <f t="shared" si="211"/>
        <v/>
      </c>
      <c r="HW36" s="517" t="str">
        <f t="shared" si="212"/>
        <v/>
      </c>
      <c r="HX36" s="517" t="str">
        <f t="shared" si="213"/>
        <v/>
      </c>
      <c r="HY36" s="517" t="str">
        <f t="shared" si="214"/>
        <v/>
      </c>
      <c r="HZ36" s="517" t="str">
        <f t="shared" si="215"/>
        <v/>
      </c>
      <c r="IA36" s="517" t="str">
        <f t="shared" si="216"/>
        <v/>
      </c>
      <c r="IB36" s="517" t="str">
        <f t="shared" si="217"/>
        <v/>
      </c>
      <c r="IC36" s="517" t="str">
        <f t="shared" si="218"/>
        <v/>
      </c>
      <c r="ID36" s="518" t="str">
        <f t="shared" si="219"/>
        <v/>
      </c>
      <c r="IE36" s="518" t="str">
        <f t="shared" si="220"/>
        <v/>
      </c>
      <c r="IF36" s="518" t="str">
        <f t="shared" si="221"/>
        <v/>
      </c>
      <c r="IG36" s="518" t="str">
        <f t="shared" si="222"/>
        <v/>
      </c>
      <c r="IH36" s="518" t="str">
        <f t="shared" si="223"/>
        <v/>
      </c>
      <c r="II36" s="507" t="str">
        <f t="shared" si="224"/>
        <v/>
      </c>
      <c r="IJ36" s="507" t="str">
        <f t="shared" si="225"/>
        <v/>
      </c>
      <c r="IK36" s="507" t="str">
        <f t="shared" si="226"/>
        <v/>
      </c>
      <c r="IL36" s="507" t="str">
        <f t="shared" si="227"/>
        <v/>
      </c>
      <c r="IM36" s="507" t="str">
        <f t="shared" si="228"/>
        <v/>
      </c>
      <c r="IN36" s="507" t="str">
        <f t="shared" si="229"/>
        <v/>
      </c>
      <c r="IO36" s="507" t="str">
        <f t="shared" si="230"/>
        <v/>
      </c>
      <c r="IP36" s="507" t="str">
        <f t="shared" si="231"/>
        <v/>
      </c>
      <c r="IQ36" s="507" t="str">
        <f t="shared" si="232"/>
        <v/>
      </c>
      <c r="IR36" s="507" t="str">
        <f t="shared" si="233"/>
        <v/>
      </c>
      <c r="IS36" s="507" t="str">
        <f t="shared" si="234"/>
        <v/>
      </c>
      <c r="IT36" s="507" t="str">
        <f t="shared" si="235"/>
        <v/>
      </c>
      <c r="IU36" s="507" t="str">
        <f t="shared" si="236"/>
        <v/>
      </c>
      <c r="IV36" s="507" t="str">
        <f t="shared" si="237"/>
        <v/>
      </c>
      <c r="IW36" s="507" t="str">
        <f t="shared" si="238"/>
        <v/>
      </c>
      <c r="IX36" s="507" t="str">
        <f t="shared" si="239"/>
        <v/>
      </c>
      <c r="IY36" s="507" t="str">
        <f t="shared" si="240"/>
        <v/>
      </c>
      <c r="IZ36" s="507" t="str">
        <f t="shared" si="241"/>
        <v/>
      </c>
      <c r="JA36" s="507" t="str">
        <f t="shared" si="242"/>
        <v/>
      </c>
      <c r="JB36" s="507" t="str">
        <f t="shared" si="243"/>
        <v/>
      </c>
      <c r="JC36" s="516">
        <f t="shared" si="244"/>
        <v>0</v>
      </c>
      <c r="JD36" s="516">
        <f t="shared" si="245"/>
        <v>0</v>
      </c>
      <c r="JE36" s="516">
        <f t="shared" si="246"/>
        <v>0</v>
      </c>
      <c r="JF36" s="516">
        <f t="shared" si="247"/>
        <v>0</v>
      </c>
      <c r="JG36" s="516">
        <f t="shared" si="248"/>
        <v>0</v>
      </c>
      <c r="JH36" s="516">
        <f t="shared" si="249"/>
        <v>0</v>
      </c>
      <c r="JI36" s="516">
        <f t="shared" si="250"/>
        <v>0</v>
      </c>
      <c r="JJ36" s="516">
        <f t="shared" si="251"/>
        <v>0</v>
      </c>
      <c r="JK36" s="516">
        <f t="shared" si="252"/>
        <v>0</v>
      </c>
      <c r="JL36" s="516">
        <f t="shared" si="253"/>
        <v>0</v>
      </c>
      <c r="JM36" s="516">
        <f t="shared" si="254"/>
        <v>0</v>
      </c>
      <c r="JN36" s="516">
        <f t="shared" si="255"/>
        <v>0</v>
      </c>
      <c r="JO36" s="516">
        <f t="shared" si="256"/>
        <v>0</v>
      </c>
      <c r="JP36" s="516">
        <f t="shared" si="257"/>
        <v>0</v>
      </c>
      <c r="JQ36" s="516">
        <f t="shared" si="258"/>
        <v>0</v>
      </c>
    </row>
    <row r="37" spans="1:296" ht="12" customHeight="1">
      <c r="A37" s="115" t="str">
        <f t="shared" si="0"/>
        <v/>
      </c>
      <c r="B37" s="2822" t="s">
        <v>1837</v>
      </c>
      <c r="C37" s="2823"/>
      <c r="D37" s="2824"/>
      <c r="E37" s="2825"/>
      <c r="F37" s="2825"/>
      <c r="G37" s="2825"/>
      <c r="H37" s="2825"/>
      <c r="I37" s="2825"/>
      <c r="J37" s="2826"/>
      <c r="K37" s="795">
        <f t="shared" si="1"/>
        <v>0</v>
      </c>
      <c r="L37" s="795">
        <f t="shared" si="2"/>
        <v>0</v>
      </c>
      <c r="M37" s="2827"/>
      <c r="N37" s="2827"/>
      <c r="O37" s="2827"/>
      <c r="P37" s="2828"/>
      <c r="Q37" s="1258" t="str">
        <f t="shared" si="3"/>
        <v/>
      </c>
      <c r="R37" s="1259" t="str">
        <f>IF(H37="","",IF(C37="Efficiency",Q37/($O$6*VLOOKUP(0,'DCA Underwriting Assumptions'!$J$132:$K$137,2,FALSE)),Q37/($O$6*VLOOKUP(C37,'DCA Underwriting Assumptions'!$J$132:$K$137,2,FALSE))))</f>
        <v/>
      </c>
      <c r="S37" s="2829"/>
      <c r="T37" s="2830"/>
      <c r="U37" s="2831"/>
      <c r="V37" s="2746"/>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0" t="str">
        <f t="shared" si="134"/>
        <v/>
      </c>
      <c r="EX37" s="517" t="str">
        <f t="shared" si="135"/>
        <v/>
      </c>
      <c r="EY37" s="517" t="str">
        <f t="shared" si="136"/>
        <v/>
      </c>
      <c r="EZ37" s="517" t="str">
        <f t="shared" si="137"/>
        <v/>
      </c>
      <c r="FA37" s="517" t="str">
        <f t="shared" si="138"/>
        <v/>
      </c>
      <c r="FB37" s="517" t="str">
        <f t="shared" si="139"/>
        <v/>
      </c>
      <c r="FC37" s="517" t="str">
        <f t="shared" si="140"/>
        <v/>
      </c>
      <c r="FD37" s="517" t="str">
        <f t="shared" si="141"/>
        <v/>
      </c>
      <c r="FE37" s="517" t="str">
        <f t="shared" si="142"/>
        <v/>
      </c>
      <c r="FF37" s="517" t="str">
        <f t="shared" si="143"/>
        <v/>
      </c>
      <c r="FG37" s="517" t="str">
        <f t="shared" si="144"/>
        <v/>
      </c>
      <c r="FH37" s="517" t="str">
        <f t="shared" si="145"/>
        <v/>
      </c>
      <c r="FI37" s="517" t="str">
        <f t="shared" si="146"/>
        <v/>
      </c>
      <c r="FJ37" s="517" t="str">
        <f t="shared" si="147"/>
        <v/>
      </c>
      <c r="FK37" s="517" t="str">
        <f t="shared" si="148"/>
        <v/>
      </c>
      <c r="FL37" s="517" t="str">
        <f t="shared" si="149"/>
        <v/>
      </c>
      <c r="FM37" s="517" t="str">
        <f t="shared" si="150"/>
        <v/>
      </c>
      <c r="FN37" s="517" t="str">
        <f t="shared" si="151"/>
        <v/>
      </c>
      <c r="FO37" s="517" t="str">
        <f t="shared" si="152"/>
        <v/>
      </c>
      <c r="FP37" s="517" t="str">
        <f t="shared" si="153"/>
        <v/>
      </c>
      <c r="FQ37" s="517" t="str">
        <f t="shared" si="154"/>
        <v/>
      </c>
      <c r="FR37" s="517" t="str">
        <f t="shared" si="155"/>
        <v/>
      </c>
      <c r="FS37" s="517" t="str">
        <f t="shared" si="156"/>
        <v/>
      </c>
      <c r="FT37" s="517" t="str">
        <f t="shared" si="157"/>
        <v/>
      </c>
      <c r="FU37" s="517" t="str">
        <f t="shared" si="158"/>
        <v/>
      </c>
      <c r="FV37" s="517" t="str">
        <f t="shared" si="159"/>
        <v/>
      </c>
      <c r="FW37" s="517" t="str">
        <f t="shared" si="160"/>
        <v/>
      </c>
      <c r="FX37" s="517" t="str">
        <f t="shared" si="161"/>
        <v/>
      </c>
      <c r="FY37" s="517" t="str">
        <f t="shared" si="162"/>
        <v/>
      </c>
      <c r="FZ37" s="517" t="str">
        <f t="shared" si="163"/>
        <v/>
      </c>
      <c r="GA37" s="517" t="str">
        <f t="shared" si="164"/>
        <v/>
      </c>
      <c r="GB37" s="517" t="str">
        <f t="shared" si="165"/>
        <v/>
      </c>
      <c r="GC37" s="517" t="str">
        <f t="shared" si="166"/>
        <v/>
      </c>
      <c r="GD37" s="517" t="str">
        <f t="shared" si="167"/>
        <v/>
      </c>
      <c r="GE37" s="517" t="str">
        <f t="shared" si="168"/>
        <v/>
      </c>
      <c r="GF37" s="517" t="str">
        <f t="shared" si="169"/>
        <v/>
      </c>
      <c r="GG37" s="517" t="str">
        <f t="shared" si="170"/>
        <v/>
      </c>
      <c r="GH37" s="517" t="str">
        <f t="shared" si="171"/>
        <v/>
      </c>
      <c r="GI37" s="517" t="str">
        <f t="shared" si="172"/>
        <v/>
      </c>
      <c r="GJ37" s="517" t="str">
        <f t="shared" si="173"/>
        <v/>
      </c>
      <c r="GK37" s="517" t="str">
        <f t="shared" si="174"/>
        <v/>
      </c>
      <c r="GL37" s="517" t="str">
        <f t="shared" si="175"/>
        <v/>
      </c>
      <c r="GM37" s="517" t="str">
        <f t="shared" si="176"/>
        <v/>
      </c>
      <c r="GN37" s="517" t="str">
        <f t="shared" si="177"/>
        <v/>
      </c>
      <c r="GO37" s="517" t="str">
        <f t="shared" si="178"/>
        <v/>
      </c>
      <c r="GP37" s="517" t="str">
        <f t="shared" si="179"/>
        <v/>
      </c>
      <c r="GQ37" s="517" t="str">
        <f t="shared" si="180"/>
        <v/>
      </c>
      <c r="GR37" s="517" t="str">
        <f t="shared" si="181"/>
        <v/>
      </c>
      <c r="GS37" s="517" t="str">
        <f t="shared" si="182"/>
        <v/>
      </c>
      <c r="GT37" s="517" t="str">
        <f t="shared" si="183"/>
        <v/>
      </c>
      <c r="GU37" s="517" t="str">
        <f t="shared" si="184"/>
        <v/>
      </c>
      <c r="GV37" s="517" t="str">
        <f t="shared" si="185"/>
        <v/>
      </c>
      <c r="GW37" s="517" t="str">
        <f t="shared" si="186"/>
        <v/>
      </c>
      <c r="GX37" s="517" t="str">
        <f t="shared" si="187"/>
        <v/>
      </c>
      <c r="GY37" s="517" t="str">
        <f t="shared" si="188"/>
        <v/>
      </c>
      <c r="GZ37" s="517" t="str">
        <f t="shared" si="189"/>
        <v/>
      </c>
      <c r="HA37" s="517" t="str">
        <f t="shared" si="190"/>
        <v/>
      </c>
      <c r="HB37" s="517" t="str">
        <f t="shared" si="191"/>
        <v/>
      </c>
      <c r="HC37" s="517" t="str">
        <f t="shared" si="192"/>
        <v/>
      </c>
      <c r="HD37" s="517" t="str">
        <f t="shared" si="193"/>
        <v/>
      </c>
      <c r="HE37" s="517" t="str">
        <f t="shared" si="194"/>
        <v/>
      </c>
      <c r="HF37" s="517" t="str">
        <f t="shared" si="195"/>
        <v/>
      </c>
      <c r="HG37" s="517" t="str">
        <f t="shared" si="196"/>
        <v/>
      </c>
      <c r="HH37" s="517" t="str">
        <f t="shared" si="197"/>
        <v/>
      </c>
      <c r="HI37" s="517" t="str">
        <f t="shared" si="198"/>
        <v/>
      </c>
      <c r="HJ37" s="517" t="str">
        <f t="shared" si="199"/>
        <v/>
      </c>
      <c r="HK37" s="517" t="str">
        <f t="shared" si="200"/>
        <v/>
      </c>
      <c r="HL37" s="517" t="str">
        <f t="shared" si="201"/>
        <v/>
      </c>
      <c r="HM37" s="517" t="str">
        <f t="shared" si="202"/>
        <v/>
      </c>
      <c r="HN37" s="517" t="str">
        <f t="shared" si="203"/>
        <v/>
      </c>
      <c r="HO37" s="517" t="str">
        <f t="shared" si="204"/>
        <v/>
      </c>
      <c r="HP37" s="517" t="str">
        <f t="shared" si="205"/>
        <v/>
      </c>
      <c r="HQ37" s="517" t="str">
        <f t="shared" si="206"/>
        <v/>
      </c>
      <c r="HR37" s="517" t="str">
        <f t="shared" si="207"/>
        <v/>
      </c>
      <c r="HS37" s="517" t="str">
        <f t="shared" si="208"/>
        <v/>
      </c>
      <c r="HT37" s="517" t="str">
        <f t="shared" si="209"/>
        <v/>
      </c>
      <c r="HU37" s="517" t="str">
        <f t="shared" si="210"/>
        <v/>
      </c>
      <c r="HV37" s="517" t="str">
        <f t="shared" si="211"/>
        <v/>
      </c>
      <c r="HW37" s="517" t="str">
        <f t="shared" si="212"/>
        <v/>
      </c>
      <c r="HX37" s="517" t="str">
        <f t="shared" si="213"/>
        <v/>
      </c>
      <c r="HY37" s="517" t="str">
        <f t="shared" si="214"/>
        <v/>
      </c>
      <c r="HZ37" s="517" t="str">
        <f t="shared" si="215"/>
        <v/>
      </c>
      <c r="IA37" s="517" t="str">
        <f t="shared" si="216"/>
        <v/>
      </c>
      <c r="IB37" s="517" t="str">
        <f t="shared" si="217"/>
        <v/>
      </c>
      <c r="IC37" s="517" t="str">
        <f t="shared" si="218"/>
        <v/>
      </c>
      <c r="ID37" s="518" t="str">
        <f t="shared" si="219"/>
        <v/>
      </c>
      <c r="IE37" s="518" t="str">
        <f t="shared" si="220"/>
        <v/>
      </c>
      <c r="IF37" s="518" t="str">
        <f t="shared" si="221"/>
        <v/>
      </c>
      <c r="IG37" s="518" t="str">
        <f t="shared" si="222"/>
        <v/>
      </c>
      <c r="IH37" s="518" t="str">
        <f t="shared" si="223"/>
        <v/>
      </c>
      <c r="II37" s="507" t="str">
        <f t="shared" si="224"/>
        <v/>
      </c>
      <c r="IJ37" s="507" t="str">
        <f t="shared" si="225"/>
        <v/>
      </c>
      <c r="IK37" s="507" t="str">
        <f t="shared" si="226"/>
        <v/>
      </c>
      <c r="IL37" s="507" t="str">
        <f t="shared" si="227"/>
        <v/>
      </c>
      <c r="IM37" s="507" t="str">
        <f t="shared" si="228"/>
        <v/>
      </c>
      <c r="IN37" s="507" t="str">
        <f t="shared" si="229"/>
        <v/>
      </c>
      <c r="IO37" s="507" t="str">
        <f t="shared" si="230"/>
        <v/>
      </c>
      <c r="IP37" s="507" t="str">
        <f t="shared" si="231"/>
        <v/>
      </c>
      <c r="IQ37" s="507" t="str">
        <f t="shared" si="232"/>
        <v/>
      </c>
      <c r="IR37" s="507" t="str">
        <f t="shared" si="233"/>
        <v/>
      </c>
      <c r="IS37" s="507" t="str">
        <f t="shared" si="234"/>
        <v/>
      </c>
      <c r="IT37" s="507" t="str">
        <f t="shared" si="235"/>
        <v/>
      </c>
      <c r="IU37" s="507" t="str">
        <f t="shared" si="236"/>
        <v/>
      </c>
      <c r="IV37" s="507" t="str">
        <f t="shared" si="237"/>
        <v/>
      </c>
      <c r="IW37" s="507" t="str">
        <f t="shared" si="238"/>
        <v/>
      </c>
      <c r="IX37" s="507" t="str">
        <f t="shared" si="239"/>
        <v/>
      </c>
      <c r="IY37" s="507" t="str">
        <f t="shared" si="240"/>
        <v/>
      </c>
      <c r="IZ37" s="507" t="str">
        <f t="shared" si="241"/>
        <v/>
      </c>
      <c r="JA37" s="507" t="str">
        <f t="shared" si="242"/>
        <v/>
      </c>
      <c r="JB37" s="507" t="str">
        <f t="shared" si="243"/>
        <v/>
      </c>
      <c r="JC37" s="516">
        <f t="shared" si="244"/>
        <v>0</v>
      </c>
      <c r="JD37" s="516">
        <f t="shared" si="245"/>
        <v>0</v>
      </c>
      <c r="JE37" s="516">
        <f t="shared" si="246"/>
        <v>0</v>
      </c>
      <c r="JF37" s="516">
        <f t="shared" si="247"/>
        <v>0</v>
      </c>
      <c r="JG37" s="516">
        <f t="shared" si="248"/>
        <v>0</v>
      </c>
      <c r="JH37" s="516">
        <f t="shared" si="249"/>
        <v>0</v>
      </c>
      <c r="JI37" s="516">
        <f t="shared" si="250"/>
        <v>0</v>
      </c>
      <c r="JJ37" s="516">
        <f t="shared" si="251"/>
        <v>0</v>
      </c>
      <c r="JK37" s="516">
        <f t="shared" si="252"/>
        <v>0</v>
      </c>
      <c r="JL37" s="516">
        <f t="shared" si="253"/>
        <v>0</v>
      </c>
      <c r="JM37" s="516">
        <f t="shared" si="254"/>
        <v>0</v>
      </c>
      <c r="JN37" s="516">
        <f t="shared" si="255"/>
        <v>0</v>
      </c>
      <c r="JO37" s="516">
        <f t="shared" si="256"/>
        <v>0</v>
      </c>
      <c r="JP37" s="516">
        <f t="shared" si="257"/>
        <v>0</v>
      </c>
      <c r="JQ37" s="516">
        <f t="shared" si="258"/>
        <v>0</v>
      </c>
    </row>
    <row r="38" spans="1:296" ht="12" customHeight="1">
      <c r="A38" s="115" t="str">
        <f t="shared" si="0"/>
        <v/>
      </c>
      <c r="B38" s="2822" t="s">
        <v>1837</v>
      </c>
      <c r="C38" s="2823"/>
      <c r="D38" s="2824"/>
      <c r="E38" s="2825"/>
      <c r="F38" s="2825"/>
      <c r="G38" s="2825"/>
      <c r="H38" s="2825"/>
      <c r="I38" s="2825"/>
      <c r="J38" s="2826"/>
      <c r="K38" s="795">
        <f t="shared" si="1"/>
        <v>0</v>
      </c>
      <c r="L38" s="795">
        <f t="shared" si="2"/>
        <v>0</v>
      </c>
      <c r="M38" s="2827"/>
      <c r="N38" s="2827"/>
      <c r="O38" s="2827"/>
      <c r="P38" s="2828"/>
      <c r="Q38" s="1258" t="str">
        <f t="shared" si="3"/>
        <v/>
      </c>
      <c r="R38" s="1259" t="str">
        <f>IF(H38="","",IF(C38="Efficiency",Q38/($O$6*VLOOKUP(0,'DCA Underwriting Assumptions'!$J$132:$K$137,2,FALSE)),Q38/($O$6*VLOOKUP(C38,'DCA Underwriting Assumptions'!$J$132:$K$137,2,FALSE))))</f>
        <v/>
      </c>
      <c r="S38" s="2829"/>
      <c r="T38" s="2830"/>
      <c r="U38" s="2831"/>
      <c r="V38" s="2746"/>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0" t="str">
        <f t="shared" si="134"/>
        <v/>
      </c>
      <c r="EX38" s="517" t="str">
        <f t="shared" si="135"/>
        <v/>
      </c>
      <c r="EY38" s="517" t="str">
        <f t="shared" si="136"/>
        <v/>
      </c>
      <c r="EZ38" s="517" t="str">
        <f t="shared" si="137"/>
        <v/>
      </c>
      <c r="FA38" s="517" t="str">
        <f t="shared" si="138"/>
        <v/>
      </c>
      <c r="FB38" s="517" t="str">
        <f t="shared" si="139"/>
        <v/>
      </c>
      <c r="FC38" s="517" t="str">
        <f t="shared" si="140"/>
        <v/>
      </c>
      <c r="FD38" s="517" t="str">
        <f t="shared" si="141"/>
        <v/>
      </c>
      <c r="FE38" s="517" t="str">
        <f t="shared" si="142"/>
        <v/>
      </c>
      <c r="FF38" s="517" t="str">
        <f t="shared" si="143"/>
        <v/>
      </c>
      <c r="FG38" s="517" t="str">
        <f t="shared" si="144"/>
        <v/>
      </c>
      <c r="FH38" s="517" t="str">
        <f t="shared" si="145"/>
        <v/>
      </c>
      <c r="FI38" s="517" t="str">
        <f t="shared" si="146"/>
        <v/>
      </c>
      <c r="FJ38" s="517" t="str">
        <f t="shared" si="147"/>
        <v/>
      </c>
      <c r="FK38" s="517" t="str">
        <f t="shared" si="148"/>
        <v/>
      </c>
      <c r="FL38" s="517" t="str">
        <f t="shared" si="149"/>
        <v/>
      </c>
      <c r="FM38" s="517" t="str">
        <f t="shared" si="150"/>
        <v/>
      </c>
      <c r="FN38" s="517" t="str">
        <f t="shared" si="151"/>
        <v/>
      </c>
      <c r="FO38" s="517" t="str">
        <f t="shared" si="152"/>
        <v/>
      </c>
      <c r="FP38" s="517" t="str">
        <f t="shared" si="153"/>
        <v/>
      </c>
      <c r="FQ38" s="517" t="str">
        <f t="shared" si="154"/>
        <v/>
      </c>
      <c r="FR38" s="517" t="str">
        <f t="shared" si="155"/>
        <v/>
      </c>
      <c r="FS38" s="517" t="str">
        <f t="shared" si="156"/>
        <v/>
      </c>
      <c r="FT38" s="517" t="str">
        <f t="shared" si="157"/>
        <v/>
      </c>
      <c r="FU38" s="517" t="str">
        <f t="shared" si="158"/>
        <v/>
      </c>
      <c r="FV38" s="517" t="str">
        <f t="shared" si="159"/>
        <v/>
      </c>
      <c r="FW38" s="517" t="str">
        <f t="shared" si="160"/>
        <v/>
      </c>
      <c r="FX38" s="517" t="str">
        <f t="shared" si="161"/>
        <v/>
      </c>
      <c r="FY38" s="517" t="str">
        <f t="shared" si="162"/>
        <v/>
      </c>
      <c r="FZ38" s="517" t="str">
        <f t="shared" si="163"/>
        <v/>
      </c>
      <c r="GA38" s="517" t="str">
        <f t="shared" si="164"/>
        <v/>
      </c>
      <c r="GB38" s="517" t="str">
        <f t="shared" si="165"/>
        <v/>
      </c>
      <c r="GC38" s="517" t="str">
        <f t="shared" si="166"/>
        <v/>
      </c>
      <c r="GD38" s="517" t="str">
        <f t="shared" si="167"/>
        <v/>
      </c>
      <c r="GE38" s="517" t="str">
        <f t="shared" si="168"/>
        <v/>
      </c>
      <c r="GF38" s="517" t="str">
        <f t="shared" si="169"/>
        <v/>
      </c>
      <c r="GG38" s="517" t="str">
        <f t="shared" si="170"/>
        <v/>
      </c>
      <c r="GH38" s="517" t="str">
        <f t="shared" si="171"/>
        <v/>
      </c>
      <c r="GI38" s="517" t="str">
        <f t="shared" si="172"/>
        <v/>
      </c>
      <c r="GJ38" s="517" t="str">
        <f t="shared" si="173"/>
        <v/>
      </c>
      <c r="GK38" s="517" t="str">
        <f t="shared" si="174"/>
        <v/>
      </c>
      <c r="GL38" s="517" t="str">
        <f t="shared" si="175"/>
        <v/>
      </c>
      <c r="GM38" s="517" t="str">
        <f t="shared" si="176"/>
        <v/>
      </c>
      <c r="GN38" s="517" t="str">
        <f t="shared" si="177"/>
        <v/>
      </c>
      <c r="GO38" s="517" t="str">
        <f t="shared" si="178"/>
        <v/>
      </c>
      <c r="GP38" s="517" t="str">
        <f t="shared" si="179"/>
        <v/>
      </c>
      <c r="GQ38" s="517" t="str">
        <f t="shared" si="180"/>
        <v/>
      </c>
      <c r="GR38" s="517" t="str">
        <f t="shared" si="181"/>
        <v/>
      </c>
      <c r="GS38" s="517" t="str">
        <f t="shared" si="182"/>
        <v/>
      </c>
      <c r="GT38" s="517" t="str">
        <f t="shared" si="183"/>
        <v/>
      </c>
      <c r="GU38" s="517" t="str">
        <f t="shared" si="184"/>
        <v/>
      </c>
      <c r="GV38" s="517" t="str">
        <f t="shared" si="185"/>
        <v/>
      </c>
      <c r="GW38" s="517" t="str">
        <f t="shared" si="186"/>
        <v/>
      </c>
      <c r="GX38" s="517" t="str">
        <f t="shared" si="187"/>
        <v/>
      </c>
      <c r="GY38" s="517" t="str">
        <f t="shared" si="188"/>
        <v/>
      </c>
      <c r="GZ38" s="517" t="str">
        <f t="shared" si="189"/>
        <v/>
      </c>
      <c r="HA38" s="517" t="str">
        <f t="shared" si="190"/>
        <v/>
      </c>
      <c r="HB38" s="517" t="str">
        <f t="shared" si="191"/>
        <v/>
      </c>
      <c r="HC38" s="517" t="str">
        <f t="shared" si="192"/>
        <v/>
      </c>
      <c r="HD38" s="517" t="str">
        <f t="shared" si="193"/>
        <v/>
      </c>
      <c r="HE38" s="517" t="str">
        <f t="shared" si="194"/>
        <v/>
      </c>
      <c r="HF38" s="517" t="str">
        <f t="shared" si="195"/>
        <v/>
      </c>
      <c r="HG38" s="517" t="str">
        <f t="shared" si="196"/>
        <v/>
      </c>
      <c r="HH38" s="517" t="str">
        <f t="shared" si="197"/>
        <v/>
      </c>
      <c r="HI38" s="517" t="str">
        <f t="shared" si="198"/>
        <v/>
      </c>
      <c r="HJ38" s="517" t="str">
        <f t="shared" si="199"/>
        <v/>
      </c>
      <c r="HK38" s="517" t="str">
        <f t="shared" si="200"/>
        <v/>
      </c>
      <c r="HL38" s="517" t="str">
        <f t="shared" si="201"/>
        <v/>
      </c>
      <c r="HM38" s="517" t="str">
        <f t="shared" si="202"/>
        <v/>
      </c>
      <c r="HN38" s="517" t="str">
        <f t="shared" si="203"/>
        <v/>
      </c>
      <c r="HO38" s="517" t="str">
        <f t="shared" si="204"/>
        <v/>
      </c>
      <c r="HP38" s="517" t="str">
        <f t="shared" si="205"/>
        <v/>
      </c>
      <c r="HQ38" s="517" t="str">
        <f t="shared" si="206"/>
        <v/>
      </c>
      <c r="HR38" s="517" t="str">
        <f t="shared" si="207"/>
        <v/>
      </c>
      <c r="HS38" s="517" t="str">
        <f t="shared" si="208"/>
        <v/>
      </c>
      <c r="HT38" s="517" t="str">
        <f t="shared" si="209"/>
        <v/>
      </c>
      <c r="HU38" s="517" t="str">
        <f t="shared" si="210"/>
        <v/>
      </c>
      <c r="HV38" s="517" t="str">
        <f t="shared" si="211"/>
        <v/>
      </c>
      <c r="HW38" s="517" t="str">
        <f t="shared" si="212"/>
        <v/>
      </c>
      <c r="HX38" s="517" t="str">
        <f t="shared" si="213"/>
        <v/>
      </c>
      <c r="HY38" s="517" t="str">
        <f t="shared" si="214"/>
        <v/>
      </c>
      <c r="HZ38" s="517" t="str">
        <f t="shared" si="215"/>
        <v/>
      </c>
      <c r="IA38" s="517" t="str">
        <f t="shared" si="216"/>
        <v/>
      </c>
      <c r="IB38" s="517" t="str">
        <f t="shared" si="217"/>
        <v/>
      </c>
      <c r="IC38" s="517" t="str">
        <f t="shared" si="218"/>
        <v/>
      </c>
      <c r="ID38" s="518" t="str">
        <f t="shared" si="219"/>
        <v/>
      </c>
      <c r="IE38" s="518" t="str">
        <f t="shared" si="220"/>
        <v/>
      </c>
      <c r="IF38" s="518" t="str">
        <f t="shared" si="221"/>
        <v/>
      </c>
      <c r="IG38" s="518" t="str">
        <f t="shared" si="222"/>
        <v/>
      </c>
      <c r="IH38" s="518" t="str">
        <f t="shared" si="223"/>
        <v/>
      </c>
      <c r="II38" s="507" t="str">
        <f t="shared" si="224"/>
        <v/>
      </c>
      <c r="IJ38" s="507" t="str">
        <f t="shared" si="225"/>
        <v/>
      </c>
      <c r="IK38" s="507" t="str">
        <f t="shared" si="226"/>
        <v/>
      </c>
      <c r="IL38" s="507" t="str">
        <f t="shared" si="227"/>
        <v/>
      </c>
      <c r="IM38" s="507" t="str">
        <f t="shared" si="228"/>
        <v/>
      </c>
      <c r="IN38" s="507" t="str">
        <f t="shared" si="229"/>
        <v/>
      </c>
      <c r="IO38" s="507" t="str">
        <f t="shared" si="230"/>
        <v/>
      </c>
      <c r="IP38" s="507" t="str">
        <f t="shared" si="231"/>
        <v/>
      </c>
      <c r="IQ38" s="507" t="str">
        <f t="shared" si="232"/>
        <v/>
      </c>
      <c r="IR38" s="507" t="str">
        <f t="shared" si="233"/>
        <v/>
      </c>
      <c r="IS38" s="507" t="str">
        <f t="shared" si="234"/>
        <v/>
      </c>
      <c r="IT38" s="507" t="str">
        <f t="shared" si="235"/>
        <v/>
      </c>
      <c r="IU38" s="507" t="str">
        <f t="shared" si="236"/>
        <v/>
      </c>
      <c r="IV38" s="507" t="str">
        <f t="shared" si="237"/>
        <v/>
      </c>
      <c r="IW38" s="507" t="str">
        <f t="shared" si="238"/>
        <v/>
      </c>
      <c r="IX38" s="507" t="str">
        <f t="shared" si="239"/>
        <v/>
      </c>
      <c r="IY38" s="507" t="str">
        <f t="shared" si="240"/>
        <v/>
      </c>
      <c r="IZ38" s="507" t="str">
        <f t="shared" si="241"/>
        <v/>
      </c>
      <c r="JA38" s="507" t="str">
        <f t="shared" si="242"/>
        <v/>
      </c>
      <c r="JB38" s="507" t="str">
        <f t="shared" si="243"/>
        <v/>
      </c>
      <c r="JC38" s="516">
        <f t="shared" si="244"/>
        <v>0</v>
      </c>
      <c r="JD38" s="516">
        <f t="shared" si="245"/>
        <v>0</v>
      </c>
      <c r="JE38" s="516">
        <f t="shared" si="246"/>
        <v>0</v>
      </c>
      <c r="JF38" s="516">
        <f t="shared" si="247"/>
        <v>0</v>
      </c>
      <c r="JG38" s="516">
        <f t="shared" si="248"/>
        <v>0</v>
      </c>
      <c r="JH38" s="516">
        <f t="shared" si="249"/>
        <v>0</v>
      </c>
      <c r="JI38" s="516">
        <f t="shared" si="250"/>
        <v>0</v>
      </c>
      <c r="JJ38" s="516">
        <f t="shared" si="251"/>
        <v>0</v>
      </c>
      <c r="JK38" s="516">
        <f t="shared" si="252"/>
        <v>0</v>
      </c>
      <c r="JL38" s="516">
        <f t="shared" si="253"/>
        <v>0</v>
      </c>
      <c r="JM38" s="516">
        <f t="shared" si="254"/>
        <v>0</v>
      </c>
      <c r="JN38" s="516">
        <f t="shared" si="255"/>
        <v>0</v>
      </c>
      <c r="JO38" s="516">
        <f t="shared" si="256"/>
        <v>0</v>
      </c>
      <c r="JP38" s="516">
        <f t="shared" si="257"/>
        <v>0</v>
      </c>
      <c r="JQ38" s="516">
        <f t="shared" si="258"/>
        <v>0</v>
      </c>
    </row>
    <row r="39" spans="1:296" ht="12" customHeight="1">
      <c r="A39" s="115" t="str">
        <f t="shared" si="0"/>
        <v/>
      </c>
      <c r="B39" s="2822" t="s">
        <v>1837</v>
      </c>
      <c r="C39" s="2823"/>
      <c r="D39" s="2824"/>
      <c r="E39" s="2825"/>
      <c r="F39" s="2825"/>
      <c r="G39" s="2825"/>
      <c r="H39" s="2825"/>
      <c r="I39" s="2825"/>
      <c r="J39" s="2826"/>
      <c r="K39" s="795">
        <f t="shared" si="1"/>
        <v>0</v>
      </c>
      <c r="L39" s="795">
        <f t="shared" si="2"/>
        <v>0</v>
      </c>
      <c r="M39" s="2827"/>
      <c r="N39" s="2827"/>
      <c r="O39" s="2827"/>
      <c r="P39" s="2828"/>
      <c r="Q39" s="1258" t="str">
        <f t="shared" si="3"/>
        <v/>
      </c>
      <c r="R39" s="1259" t="str">
        <f>IF(H39="","",IF(C39="Efficiency",Q39/($O$6*VLOOKUP(0,'DCA Underwriting Assumptions'!$J$132:$K$137,2,FALSE)),Q39/($O$6*VLOOKUP(C39,'DCA Underwriting Assumptions'!$J$132:$K$137,2,FALSE))))</f>
        <v/>
      </c>
      <c r="S39" s="2829"/>
      <c r="T39" s="2830"/>
      <c r="U39" s="2831"/>
      <c r="V39" s="2746"/>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0" t="str">
        <f t="shared" si="134"/>
        <v/>
      </c>
      <c r="EX39" s="517" t="str">
        <f t="shared" si="135"/>
        <v/>
      </c>
      <c r="EY39" s="517" t="str">
        <f t="shared" si="136"/>
        <v/>
      </c>
      <c r="EZ39" s="517" t="str">
        <f t="shared" si="137"/>
        <v/>
      </c>
      <c r="FA39" s="517" t="str">
        <f t="shared" si="138"/>
        <v/>
      </c>
      <c r="FB39" s="517" t="str">
        <f t="shared" si="139"/>
        <v/>
      </c>
      <c r="FC39" s="517" t="str">
        <f t="shared" si="140"/>
        <v/>
      </c>
      <c r="FD39" s="517" t="str">
        <f t="shared" si="141"/>
        <v/>
      </c>
      <c r="FE39" s="517" t="str">
        <f t="shared" si="142"/>
        <v/>
      </c>
      <c r="FF39" s="517" t="str">
        <f t="shared" si="143"/>
        <v/>
      </c>
      <c r="FG39" s="517" t="str">
        <f t="shared" si="144"/>
        <v/>
      </c>
      <c r="FH39" s="517" t="str">
        <f t="shared" si="145"/>
        <v/>
      </c>
      <c r="FI39" s="517" t="str">
        <f t="shared" si="146"/>
        <v/>
      </c>
      <c r="FJ39" s="517" t="str">
        <f t="shared" si="147"/>
        <v/>
      </c>
      <c r="FK39" s="517" t="str">
        <f t="shared" si="148"/>
        <v/>
      </c>
      <c r="FL39" s="517" t="str">
        <f t="shared" si="149"/>
        <v/>
      </c>
      <c r="FM39" s="517" t="str">
        <f t="shared" si="150"/>
        <v/>
      </c>
      <c r="FN39" s="517" t="str">
        <f t="shared" si="151"/>
        <v/>
      </c>
      <c r="FO39" s="517" t="str">
        <f t="shared" si="152"/>
        <v/>
      </c>
      <c r="FP39" s="517" t="str">
        <f t="shared" si="153"/>
        <v/>
      </c>
      <c r="FQ39" s="517" t="str">
        <f t="shared" si="154"/>
        <v/>
      </c>
      <c r="FR39" s="517" t="str">
        <f t="shared" si="155"/>
        <v/>
      </c>
      <c r="FS39" s="517" t="str">
        <f t="shared" si="156"/>
        <v/>
      </c>
      <c r="FT39" s="517" t="str">
        <f t="shared" si="157"/>
        <v/>
      </c>
      <c r="FU39" s="517" t="str">
        <f t="shared" si="158"/>
        <v/>
      </c>
      <c r="FV39" s="517" t="str">
        <f t="shared" si="159"/>
        <v/>
      </c>
      <c r="FW39" s="517" t="str">
        <f t="shared" si="160"/>
        <v/>
      </c>
      <c r="FX39" s="517" t="str">
        <f t="shared" si="161"/>
        <v/>
      </c>
      <c r="FY39" s="517" t="str">
        <f t="shared" si="162"/>
        <v/>
      </c>
      <c r="FZ39" s="517" t="str">
        <f t="shared" si="163"/>
        <v/>
      </c>
      <c r="GA39" s="517" t="str">
        <f t="shared" si="164"/>
        <v/>
      </c>
      <c r="GB39" s="517" t="str">
        <f t="shared" si="165"/>
        <v/>
      </c>
      <c r="GC39" s="517" t="str">
        <f t="shared" si="166"/>
        <v/>
      </c>
      <c r="GD39" s="517" t="str">
        <f t="shared" si="167"/>
        <v/>
      </c>
      <c r="GE39" s="517" t="str">
        <f t="shared" si="168"/>
        <v/>
      </c>
      <c r="GF39" s="517" t="str">
        <f t="shared" si="169"/>
        <v/>
      </c>
      <c r="GG39" s="517" t="str">
        <f t="shared" si="170"/>
        <v/>
      </c>
      <c r="GH39" s="517" t="str">
        <f t="shared" si="171"/>
        <v/>
      </c>
      <c r="GI39" s="517" t="str">
        <f t="shared" si="172"/>
        <v/>
      </c>
      <c r="GJ39" s="517" t="str">
        <f t="shared" si="173"/>
        <v/>
      </c>
      <c r="GK39" s="517" t="str">
        <f t="shared" si="174"/>
        <v/>
      </c>
      <c r="GL39" s="517" t="str">
        <f t="shared" si="175"/>
        <v/>
      </c>
      <c r="GM39" s="517" t="str">
        <f t="shared" si="176"/>
        <v/>
      </c>
      <c r="GN39" s="517" t="str">
        <f t="shared" si="177"/>
        <v/>
      </c>
      <c r="GO39" s="517" t="str">
        <f t="shared" si="178"/>
        <v/>
      </c>
      <c r="GP39" s="517" t="str">
        <f t="shared" si="179"/>
        <v/>
      </c>
      <c r="GQ39" s="517" t="str">
        <f t="shared" si="180"/>
        <v/>
      </c>
      <c r="GR39" s="517" t="str">
        <f t="shared" si="181"/>
        <v/>
      </c>
      <c r="GS39" s="517" t="str">
        <f t="shared" si="182"/>
        <v/>
      </c>
      <c r="GT39" s="517" t="str">
        <f t="shared" si="183"/>
        <v/>
      </c>
      <c r="GU39" s="517" t="str">
        <f t="shared" si="184"/>
        <v/>
      </c>
      <c r="GV39" s="517" t="str">
        <f t="shared" si="185"/>
        <v/>
      </c>
      <c r="GW39" s="517" t="str">
        <f t="shared" si="186"/>
        <v/>
      </c>
      <c r="GX39" s="517" t="str">
        <f t="shared" si="187"/>
        <v/>
      </c>
      <c r="GY39" s="517" t="str">
        <f t="shared" si="188"/>
        <v/>
      </c>
      <c r="GZ39" s="517" t="str">
        <f t="shared" si="189"/>
        <v/>
      </c>
      <c r="HA39" s="517" t="str">
        <f t="shared" si="190"/>
        <v/>
      </c>
      <c r="HB39" s="517" t="str">
        <f t="shared" si="191"/>
        <v/>
      </c>
      <c r="HC39" s="517" t="str">
        <f t="shared" si="192"/>
        <v/>
      </c>
      <c r="HD39" s="517" t="str">
        <f t="shared" si="193"/>
        <v/>
      </c>
      <c r="HE39" s="517" t="str">
        <f t="shared" si="194"/>
        <v/>
      </c>
      <c r="HF39" s="517" t="str">
        <f t="shared" si="195"/>
        <v/>
      </c>
      <c r="HG39" s="517" t="str">
        <f t="shared" si="196"/>
        <v/>
      </c>
      <c r="HH39" s="517" t="str">
        <f t="shared" si="197"/>
        <v/>
      </c>
      <c r="HI39" s="517" t="str">
        <f t="shared" si="198"/>
        <v/>
      </c>
      <c r="HJ39" s="517" t="str">
        <f t="shared" si="199"/>
        <v/>
      </c>
      <c r="HK39" s="517" t="str">
        <f t="shared" si="200"/>
        <v/>
      </c>
      <c r="HL39" s="517" t="str">
        <f t="shared" si="201"/>
        <v/>
      </c>
      <c r="HM39" s="517" t="str">
        <f t="shared" si="202"/>
        <v/>
      </c>
      <c r="HN39" s="517" t="str">
        <f t="shared" si="203"/>
        <v/>
      </c>
      <c r="HO39" s="517" t="str">
        <f t="shared" si="204"/>
        <v/>
      </c>
      <c r="HP39" s="517" t="str">
        <f t="shared" si="205"/>
        <v/>
      </c>
      <c r="HQ39" s="517" t="str">
        <f t="shared" si="206"/>
        <v/>
      </c>
      <c r="HR39" s="517" t="str">
        <f t="shared" si="207"/>
        <v/>
      </c>
      <c r="HS39" s="517" t="str">
        <f t="shared" si="208"/>
        <v/>
      </c>
      <c r="HT39" s="517" t="str">
        <f t="shared" si="209"/>
        <v/>
      </c>
      <c r="HU39" s="517" t="str">
        <f t="shared" si="210"/>
        <v/>
      </c>
      <c r="HV39" s="517" t="str">
        <f t="shared" si="211"/>
        <v/>
      </c>
      <c r="HW39" s="517" t="str">
        <f t="shared" si="212"/>
        <v/>
      </c>
      <c r="HX39" s="517" t="str">
        <f t="shared" si="213"/>
        <v/>
      </c>
      <c r="HY39" s="517" t="str">
        <f t="shared" si="214"/>
        <v/>
      </c>
      <c r="HZ39" s="517" t="str">
        <f t="shared" si="215"/>
        <v/>
      </c>
      <c r="IA39" s="517" t="str">
        <f t="shared" si="216"/>
        <v/>
      </c>
      <c r="IB39" s="517" t="str">
        <f t="shared" si="217"/>
        <v/>
      </c>
      <c r="IC39" s="517" t="str">
        <f t="shared" si="218"/>
        <v/>
      </c>
      <c r="ID39" s="518" t="str">
        <f t="shared" si="219"/>
        <v/>
      </c>
      <c r="IE39" s="518" t="str">
        <f t="shared" si="220"/>
        <v/>
      </c>
      <c r="IF39" s="518" t="str">
        <f t="shared" si="221"/>
        <v/>
      </c>
      <c r="IG39" s="518" t="str">
        <f t="shared" si="222"/>
        <v/>
      </c>
      <c r="IH39" s="518" t="str">
        <f t="shared" si="223"/>
        <v/>
      </c>
      <c r="II39" s="507" t="str">
        <f t="shared" si="224"/>
        <v/>
      </c>
      <c r="IJ39" s="507" t="str">
        <f t="shared" si="225"/>
        <v/>
      </c>
      <c r="IK39" s="507" t="str">
        <f t="shared" si="226"/>
        <v/>
      </c>
      <c r="IL39" s="507" t="str">
        <f t="shared" si="227"/>
        <v/>
      </c>
      <c r="IM39" s="507" t="str">
        <f t="shared" si="228"/>
        <v/>
      </c>
      <c r="IN39" s="507" t="str">
        <f t="shared" si="229"/>
        <v/>
      </c>
      <c r="IO39" s="507" t="str">
        <f t="shared" si="230"/>
        <v/>
      </c>
      <c r="IP39" s="507" t="str">
        <f t="shared" si="231"/>
        <v/>
      </c>
      <c r="IQ39" s="507" t="str">
        <f t="shared" si="232"/>
        <v/>
      </c>
      <c r="IR39" s="507" t="str">
        <f t="shared" si="233"/>
        <v/>
      </c>
      <c r="IS39" s="507" t="str">
        <f t="shared" si="234"/>
        <v/>
      </c>
      <c r="IT39" s="507" t="str">
        <f t="shared" si="235"/>
        <v/>
      </c>
      <c r="IU39" s="507" t="str">
        <f t="shared" si="236"/>
        <v/>
      </c>
      <c r="IV39" s="507" t="str">
        <f t="shared" si="237"/>
        <v/>
      </c>
      <c r="IW39" s="507" t="str">
        <f t="shared" si="238"/>
        <v/>
      </c>
      <c r="IX39" s="507" t="str">
        <f t="shared" si="239"/>
        <v/>
      </c>
      <c r="IY39" s="507" t="str">
        <f t="shared" si="240"/>
        <v/>
      </c>
      <c r="IZ39" s="507" t="str">
        <f t="shared" si="241"/>
        <v/>
      </c>
      <c r="JA39" s="507" t="str">
        <f t="shared" si="242"/>
        <v/>
      </c>
      <c r="JB39" s="507" t="str">
        <f t="shared" si="243"/>
        <v/>
      </c>
      <c r="JC39" s="516">
        <f t="shared" si="244"/>
        <v>0</v>
      </c>
      <c r="JD39" s="516">
        <f t="shared" si="245"/>
        <v>0</v>
      </c>
      <c r="JE39" s="516">
        <f t="shared" si="246"/>
        <v>0</v>
      </c>
      <c r="JF39" s="516">
        <f t="shared" si="247"/>
        <v>0</v>
      </c>
      <c r="JG39" s="516">
        <f t="shared" si="248"/>
        <v>0</v>
      </c>
      <c r="JH39" s="516">
        <f t="shared" si="249"/>
        <v>0</v>
      </c>
      <c r="JI39" s="516">
        <f t="shared" si="250"/>
        <v>0</v>
      </c>
      <c r="JJ39" s="516">
        <f t="shared" si="251"/>
        <v>0</v>
      </c>
      <c r="JK39" s="516">
        <f t="shared" si="252"/>
        <v>0</v>
      </c>
      <c r="JL39" s="516">
        <f t="shared" si="253"/>
        <v>0</v>
      </c>
      <c r="JM39" s="516">
        <f t="shared" si="254"/>
        <v>0</v>
      </c>
      <c r="JN39" s="516">
        <f t="shared" si="255"/>
        <v>0</v>
      </c>
      <c r="JO39" s="516">
        <f t="shared" si="256"/>
        <v>0</v>
      </c>
      <c r="JP39" s="516">
        <f t="shared" si="257"/>
        <v>0</v>
      </c>
      <c r="JQ39" s="516">
        <f t="shared" si="258"/>
        <v>0</v>
      </c>
    </row>
    <row r="40" spans="1:296" ht="12" customHeight="1">
      <c r="A40" s="115" t="str">
        <f t="shared" si="0"/>
        <v/>
      </c>
      <c r="B40" s="2822" t="s">
        <v>1837</v>
      </c>
      <c r="C40" s="2823"/>
      <c r="D40" s="2824"/>
      <c r="E40" s="2825"/>
      <c r="F40" s="2825"/>
      <c r="G40" s="2825"/>
      <c r="H40" s="2825"/>
      <c r="I40" s="2825"/>
      <c r="J40" s="2826"/>
      <c r="K40" s="795">
        <f t="shared" si="1"/>
        <v>0</v>
      </c>
      <c r="L40" s="795">
        <f t="shared" si="2"/>
        <v>0</v>
      </c>
      <c r="M40" s="2827"/>
      <c r="N40" s="2827"/>
      <c r="O40" s="2827"/>
      <c r="P40" s="2828"/>
      <c r="Q40" s="1258" t="str">
        <f t="shared" si="3"/>
        <v/>
      </c>
      <c r="R40" s="1259" t="str">
        <f>IF(H40="","",IF(C40="Efficiency",Q40/($O$6*VLOOKUP(0,'DCA Underwriting Assumptions'!$J$132:$K$137,2,FALSE)),Q40/($O$6*VLOOKUP(C40,'DCA Underwriting Assumptions'!$J$132:$K$137,2,FALSE))))</f>
        <v/>
      </c>
      <c r="S40" s="2829"/>
      <c r="T40" s="2830"/>
      <c r="U40" s="2831"/>
      <c r="V40" s="2746"/>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0" t="str">
        <f t="shared" si="134"/>
        <v/>
      </c>
      <c r="EX40" s="517" t="str">
        <f t="shared" si="135"/>
        <v/>
      </c>
      <c r="EY40" s="517" t="str">
        <f t="shared" si="136"/>
        <v/>
      </c>
      <c r="EZ40" s="517" t="str">
        <f t="shared" si="137"/>
        <v/>
      </c>
      <c r="FA40" s="517" t="str">
        <f t="shared" si="138"/>
        <v/>
      </c>
      <c r="FB40" s="517" t="str">
        <f t="shared" si="139"/>
        <v/>
      </c>
      <c r="FC40" s="517" t="str">
        <f t="shared" si="140"/>
        <v/>
      </c>
      <c r="FD40" s="517" t="str">
        <f t="shared" si="141"/>
        <v/>
      </c>
      <c r="FE40" s="517" t="str">
        <f t="shared" si="142"/>
        <v/>
      </c>
      <c r="FF40" s="517" t="str">
        <f t="shared" si="143"/>
        <v/>
      </c>
      <c r="FG40" s="517" t="str">
        <f t="shared" si="144"/>
        <v/>
      </c>
      <c r="FH40" s="517" t="str">
        <f t="shared" si="145"/>
        <v/>
      </c>
      <c r="FI40" s="517" t="str">
        <f t="shared" si="146"/>
        <v/>
      </c>
      <c r="FJ40" s="517" t="str">
        <f t="shared" si="147"/>
        <v/>
      </c>
      <c r="FK40" s="517" t="str">
        <f t="shared" si="148"/>
        <v/>
      </c>
      <c r="FL40" s="517" t="str">
        <f t="shared" si="149"/>
        <v/>
      </c>
      <c r="FM40" s="517" t="str">
        <f t="shared" si="150"/>
        <v/>
      </c>
      <c r="FN40" s="517" t="str">
        <f t="shared" si="151"/>
        <v/>
      </c>
      <c r="FO40" s="517" t="str">
        <f t="shared" si="152"/>
        <v/>
      </c>
      <c r="FP40" s="517" t="str">
        <f t="shared" si="153"/>
        <v/>
      </c>
      <c r="FQ40" s="517" t="str">
        <f t="shared" si="154"/>
        <v/>
      </c>
      <c r="FR40" s="517" t="str">
        <f t="shared" si="155"/>
        <v/>
      </c>
      <c r="FS40" s="517" t="str">
        <f t="shared" si="156"/>
        <v/>
      </c>
      <c r="FT40" s="517" t="str">
        <f t="shared" si="157"/>
        <v/>
      </c>
      <c r="FU40" s="517" t="str">
        <f t="shared" si="158"/>
        <v/>
      </c>
      <c r="FV40" s="517" t="str">
        <f t="shared" si="159"/>
        <v/>
      </c>
      <c r="FW40" s="517" t="str">
        <f t="shared" si="160"/>
        <v/>
      </c>
      <c r="FX40" s="517" t="str">
        <f t="shared" si="161"/>
        <v/>
      </c>
      <c r="FY40" s="517" t="str">
        <f t="shared" si="162"/>
        <v/>
      </c>
      <c r="FZ40" s="517" t="str">
        <f t="shared" si="163"/>
        <v/>
      </c>
      <c r="GA40" s="517" t="str">
        <f t="shared" si="164"/>
        <v/>
      </c>
      <c r="GB40" s="517" t="str">
        <f t="shared" si="165"/>
        <v/>
      </c>
      <c r="GC40" s="517" t="str">
        <f t="shared" si="166"/>
        <v/>
      </c>
      <c r="GD40" s="517" t="str">
        <f t="shared" si="167"/>
        <v/>
      </c>
      <c r="GE40" s="517" t="str">
        <f t="shared" si="168"/>
        <v/>
      </c>
      <c r="GF40" s="517" t="str">
        <f t="shared" si="169"/>
        <v/>
      </c>
      <c r="GG40" s="517" t="str">
        <f t="shared" si="170"/>
        <v/>
      </c>
      <c r="GH40" s="517" t="str">
        <f t="shared" si="171"/>
        <v/>
      </c>
      <c r="GI40" s="517" t="str">
        <f t="shared" si="172"/>
        <v/>
      </c>
      <c r="GJ40" s="517" t="str">
        <f t="shared" si="173"/>
        <v/>
      </c>
      <c r="GK40" s="517" t="str">
        <f t="shared" si="174"/>
        <v/>
      </c>
      <c r="GL40" s="517" t="str">
        <f t="shared" si="175"/>
        <v/>
      </c>
      <c r="GM40" s="517" t="str">
        <f t="shared" si="176"/>
        <v/>
      </c>
      <c r="GN40" s="517" t="str">
        <f t="shared" si="177"/>
        <v/>
      </c>
      <c r="GO40" s="517" t="str">
        <f t="shared" si="178"/>
        <v/>
      </c>
      <c r="GP40" s="517" t="str">
        <f t="shared" si="179"/>
        <v/>
      </c>
      <c r="GQ40" s="517" t="str">
        <f t="shared" si="180"/>
        <v/>
      </c>
      <c r="GR40" s="517" t="str">
        <f t="shared" si="181"/>
        <v/>
      </c>
      <c r="GS40" s="517" t="str">
        <f t="shared" si="182"/>
        <v/>
      </c>
      <c r="GT40" s="517" t="str">
        <f t="shared" si="183"/>
        <v/>
      </c>
      <c r="GU40" s="517" t="str">
        <f t="shared" si="184"/>
        <v/>
      </c>
      <c r="GV40" s="517" t="str">
        <f t="shared" si="185"/>
        <v/>
      </c>
      <c r="GW40" s="517" t="str">
        <f t="shared" si="186"/>
        <v/>
      </c>
      <c r="GX40" s="517" t="str">
        <f t="shared" si="187"/>
        <v/>
      </c>
      <c r="GY40" s="517" t="str">
        <f t="shared" si="188"/>
        <v/>
      </c>
      <c r="GZ40" s="517" t="str">
        <f t="shared" si="189"/>
        <v/>
      </c>
      <c r="HA40" s="517" t="str">
        <f t="shared" si="190"/>
        <v/>
      </c>
      <c r="HB40" s="517" t="str">
        <f t="shared" si="191"/>
        <v/>
      </c>
      <c r="HC40" s="517" t="str">
        <f t="shared" si="192"/>
        <v/>
      </c>
      <c r="HD40" s="517" t="str">
        <f t="shared" si="193"/>
        <v/>
      </c>
      <c r="HE40" s="517" t="str">
        <f t="shared" si="194"/>
        <v/>
      </c>
      <c r="HF40" s="517" t="str">
        <f t="shared" si="195"/>
        <v/>
      </c>
      <c r="HG40" s="517" t="str">
        <f t="shared" si="196"/>
        <v/>
      </c>
      <c r="HH40" s="517" t="str">
        <f t="shared" si="197"/>
        <v/>
      </c>
      <c r="HI40" s="517" t="str">
        <f t="shared" si="198"/>
        <v/>
      </c>
      <c r="HJ40" s="517" t="str">
        <f t="shared" si="199"/>
        <v/>
      </c>
      <c r="HK40" s="517" t="str">
        <f t="shared" si="200"/>
        <v/>
      </c>
      <c r="HL40" s="517" t="str">
        <f t="shared" si="201"/>
        <v/>
      </c>
      <c r="HM40" s="517" t="str">
        <f t="shared" si="202"/>
        <v/>
      </c>
      <c r="HN40" s="517" t="str">
        <f t="shared" si="203"/>
        <v/>
      </c>
      <c r="HO40" s="517" t="str">
        <f t="shared" si="204"/>
        <v/>
      </c>
      <c r="HP40" s="517" t="str">
        <f t="shared" si="205"/>
        <v/>
      </c>
      <c r="HQ40" s="517" t="str">
        <f t="shared" si="206"/>
        <v/>
      </c>
      <c r="HR40" s="517" t="str">
        <f t="shared" si="207"/>
        <v/>
      </c>
      <c r="HS40" s="517" t="str">
        <f t="shared" si="208"/>
        <v/>
      </c>
      <c r="HT40" s="517" t="str">
        <f t="shared" si="209"/>
        <v/>
      </c>
      <c r="HU40" s="517" t="str">
        <f t="shared" si="210"/>
        <v/>
      </c>
      <c r="HV40" s="517" t="str">
        <f t="shared" si="211"/>
        <v/>
      </c>
      <c r="HW40" s="517" t="str">
        <f t="shared" si="212"/>
        <v/>
      </c>
      <c r="HX40" s="517" t="str">
        <f t="shared" si="213"/>
        <v/>
      </c>
      <c r="HY40" s="517" t="str">
        <f t="shared" si="214"/>
        <v/>
      </c>
      <c r="HZ40" s="517" t="str">
        <f t="shared" si="215"/>
        <v/>
      </c>
      <c r="IA40" s="517" t="str">
        <f t="shared" si="216"/>
        <v/>
      </c>
      <c r="IB40" s="517" t="str">
        <f t="shared" si="217"/>
        <v/>
      </c>
      <c r="IC40" s="517" t="str">
        <f t="shared" si="218"/>
        <v/>
      </c>
      <c r="ID40" s="518" t="str">
        <f t="shared" si="219"/>
        <v/>
      </c>
      <c r="IE40" s="518" t="str">
        <f t="shared" si="220"/>
        <v/>
      </c>
      <c r="IF40" s="518" t="str">
        <f t="shared" si="221"/>
        <v/>
      </c>
      <c r="IG40" s="518" t="str">
        <f t="shared" si="222"/>
        <v/>
      </c>
      <c r="IH40" s="518" t="str">
        <f t="shared" si="223"/>
        <v/>
      </c>
      <c r="II40" s="507" t="str">
        <f t="shared" si="224"/>
        <v/>
      </c>
      <c r="IJ40" s="507" t="str">
        <f t="shared" si="225"/>
        <v/>
      </c>
      <c r="IK40" s="507" t="str">
        <f t="shared" si="226"/>
        <v/>
      </c>
      <c r="IL40" s="507" t="str">
        <f t="shared" si="227"/>
        <v/>
      </c>
      <c r="IM40" s="507" t="str">
        <f t="shared" si="228"/>
        <v/>
      </c>
      <c r="IN40" s="507" t="str">
        <f t="shared" si="229"/>
        <v/>
      </c>
      <c r="IO40" s="507" t="str">
        <f t="shared" si="230"/>
        <v/>
      </c>
      <c r="IP40" s="507" t="str">
        <f t="shared" si="231"/>
        <v/>
      </c>
      <c r="IQ40" s="507" t="str">
        <f t="shared" si="232"/>
        <v/>
      </c>
      <c r="IR40" s="507" t="str">
        <f t="shared" si="233"/>
        <v/>
      </c>
      <c r="IS40" s="507" t="str">
        <f t="shared" si="234"/>
        <v/>
      </c>
      <c r="IT40" s="507" t="str">
        <f t="shared" si="235"/>
        <v/>
      </c>
      <c r="IU40" s="507" t="str">
        <f t="shared" si="236"/>
        <v/>
      </c>
      <c r="IV40" s="507" t="str">
        <f t="shared" si="237"/>
        <v/>
      </c>
      <c r="IW40" s="507" t="str">
        <f t="shared" si="238"/>
        <v/>
      </c>
      <c r="IX40" s="507" t="str">
        <f t="shared" si="239"/>
        <v/>
      </c>
      <c r="IY40" s="507" t="str">
        <f t="shared" si="240"/>
        <v/>
      </c>
      <c r="IZ40" s="507" t="str">
        <f t="shared" si="241"/>
        <v/>
      </c>
      <c r="JA40" s="507" t="str">
        <f t="shared" si="242"/>
        <v/>
      </c>
      <c r="JB40" s="507" t="str">
        <f t="shared" si="243"/>
        <v/>
      </c>
      <c r="JC40" s="516">
        <f t="shared" si="244"/>
        <v>0</v>
      </c>
      <c r="JD40" s="516">
        <f t="shared" si="245"/>
        <v>0</v>
      </c>
      <c r="JE40" s="516">
        <f t="shared" si="246"/>
        <v>0</v>
      </c>
      <c r="JF40" s="516">
        <f t="shared" si="247"/>
        <v>0</v>
      </c>
      <c r="JG40" s="516">
        <f t="shared" si="248"/>
        <v>0</v>
      </c>
      <c r="JH40" s="516">
        <f t="shared" si="249"/>
        <v>0</v>
      </c>
      <c r="JI40" s="516">
        <f t="shared" si="250"/>
        <v>0</v>
      </c>
      <c r="JJ40" s="516">
        <f t="shared" si="251"/>
        <v>0</v>
      </c>
      <c r="JK40" s="516">
        <f t="shared" si="252"/>
        <v>0</v>
      </c>
      <c r="JL40" s="516">
        <f t="shared" si="253"/>
        <v>0</v>
      </c>
      <c r="JM40" s="516">
        <f t="shared" si="254"/>
        <v>0</v>
      </c>
      <c r="JN40" s="516">
        <f t="shared" si="255"/>
        <v>0</v>
      </c>
      <c r="JO40" s="516">
        <f t="shared" si="256"/>
        <v>0</v>
      </c>
      <c r="JP40" s="516">
        <f t="shared" si="257"/>
        <v>0</v>
      </c>
      <c r="JQ40" s="516">
        <f t="shared" si="258"/>
        <v>0</v>
      </c>
    </row>
    <row r="41" spans="1:296" ht="12" customHeight="1">
      <c r="A41" s="115" t="str">
        <f t="shared" si="0"/>
        <v/>
      </c>
      <c r="B41" s="2822" t="s">
        <v>1837</v>
      </c>
      <c r="C41" s="2823"/>
      <c r="D41" s="2824"/>
      <c r="E41" s="2825"/>
      <c r="F41" s="2825"/>
      <c r="G41" s="2825"/>
      <c r="H41" s="2825"/>
      <c r="I41" s="2825"/>
      <c r="J41" s="2826"/>
      <c r="K41" s="795">
        <f t="shared" si="1"/>
        <v>0</v>
      </c>
      <c r="L41" s="795">
        <f t="shared" si="2"/>
        <v>0</v>
      </c>
      <c r="M41" s="2827"/>
      <c r="N41" s="2827"/>
      <c r="O41" s="2827"/>
      <c r="P41" s="2828"/>
      <c r="Q41" s="1258" t="str">
        <f t="shared" si="3"/>
        <v/>
      </c>
      <c r="R41" s="1259" t="str">
        <f>IF(H41="","",IF(C41="Efficiency",Q41/($O$6*VLOOKUP(0,'DCA Underwriting Assumptions'!$J$132:$K$137,2,FALSE)),Q41/($O$6*VLOOKUP(C41,'DCA Underwriting Assumptions'!$J$132:$K$137,2,FALSE))))</f>
        <v/>
      </c>
      <c r="S41" s="2829"/>
      <c r="T41" s="2830"/>
      <c r="U41" s="2831"/>
      <c r="V41" s="2746"/>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0" t="str">
        <f t="shared" si="134"/>
        <v/>
      </c>
      <c r="EX41" s="517" t="str">
        <f t="shared" si="135"/>
        <v/>
      </c>
      <c r="EY41" s="517" t="str">
        <f t="shared" si="136"/>
        <v/>
      </c>
      <c r="EZ41" s="517" t="str">
        <f t="shared" si="137"/>
        <v/>
      </c>
      <c r="FA41" s="517" t="str">
        <f t="shared" si="138"/>
        <v/>
      </c>
      <c r="FB41" s="517" t="str">
        <f t="shared" si="139"/>
        <v/>
      </c>
      <c r="FC41" s="517" t="str">
        <f t="shared" si="140"/>
        <v/>
      </c>
      <c r="FD41" s="517" t="str">
        <f t="shared" si="141"/>
        <v/>
      </c>
      <c r="FE41" s="517" t="str">
        <f t="shared" si="142"/>
        <v/>
      </c>
      <c r="FF41" s="517" t="str">
        <f t="shared" si="143"/>
        <v/>
      </c>
      <c r="FG41" s="517" t="str">
        <f t="shared" si="144"/>
        <v/>
      </c>
      <c r="FH41" s="517" t="str">
        <f t="shared" si="145"/>
        <v/>
      </c>
      <c r="FI41" s="517" t="str">
        <f t="shared" si="146"/>
        <v/>
      </c>
      <c r="FJ41" s="517" t="str">
        <f t="shared" si="147"/>
        <v/>
      </c>
      <c r="FK41" s="517" t="str">
        <f t="shared" si="148"/>
        <v/>
      </c>
      <c r="FL41" s="517" t="str">
        <f t="shared" si="149"/>
        <v/>
      </c>
      <c r="FM41" s="517" t="str">
        <f t="shared" si="150"/>
        <v/>
      </c>
      <c r="FN41" s="517" t="str">
        <f t="shared" si="151"/>
        <v/>
      </c>
      <c r="FO41" s="517" t="str">
        <f t="shared" si="152"/>
        <v/>
      </c>
      <c r="FP41" s="517" t="str">
        <f t="shared" si="153"/>
        <v/>
      </c>
      <c r="FQ41" s="517" t="str">
        <f t="shared" si="154"/>
        <v/>
      </c>
      <c r="FR41" s="517" t="str">
        <f t="shared" si="155"/>
        <v/>
      </c>
      <c r="FS41" s="517" t="str">
        <f t="shared" si="156"/>
        <v/>
      </c>
      <c r="FT41" s="517" t="str">
        <f t="shared" si="157"/>
        <v/>
      </c>
      <c r="FU41" s="517" t="str">
        <f t="shared" si="158"/>
        <v/>
      </c>
      <c r="FV41" s="517" t="str">
        <f t="shared" si="159"/>
        <v/>
      </c>
      <c r="FW41" s="517" t="str">
        <f t="shared" si="160"/>
        <v/>
      </c>
      <c r="FX41" s="517" t="str">
        <f t="shared" si="161"/>
        <v/>
      </c>
      <c r="FY41" s="517" t="str">
        <f t="shared" si="162"/>
        <v/>
      </c>
      <c r="FZ41" s="517" t="str">
        <f t="shared" si="163"/>
        <v/>
      </c>
      <c r="GA41" s="517" t="str">
        <f t="shared" si="164"/>
        <v/>
      </c>
      <c r="GB41" s="517" t="str">
        <f t="shared" si="165"/>
        <v/>
      </c>
      <c r="GC41" s="517" t="str">
        <f t="shared" si="166"/>
        <v/>
      </c>
      <c r="GD41" s="517" t="str">
        <f t="shared" si="167"/>
        <v/>
      </c>
      <c r="GE41" s="517" t="str">
        <f t="shared" si="168"/>
        <v/>
      </c>
      <c r="GF41" s="517" t="str">
        <f t="shared" si="169"/>
        <v/>
      </c>
      <c r="GG41" s="517" t="str">
        <f t="shared" si="170"/>
        <v/>
      </c>
      <c r="GH41" s="517" t="str">
        <f t="shared" si="171"/>
        <v/>
      </c>
      <c r="GI41" s="517" t="str">
        <f t="shared" si="172"/>
        <v/>
      </c>
      <c r="GJ41" s="517" t="str">
        <f t="shared" si="173"/>
        <v/>
      </c>
      <c r="GK41" s="517" t="str">
        <f t="shared" si="174"/>
        <v/>
      </c>
      <c r="GL41" s="517" t="str">
        <f t="shared" si="175"/>
        <v/>
      </c>
      <c r="GM41" s="517" t="str">
        <f t="shared" si="176"/>
        <v/>
      </c>
      <c r="GN41" s="517" t="str">
        <f t="shared" si="177"/>
        <v/>
      </c>
      <c r="GO41" s="517" t="str">
        <f t="shared" si="178"/>
        <v/>
      </c>
      <c r="GP41" s="517" t="str">
        <f t="shared" si="179"/>
        <v/>
      </c>
      <c r="GQ41" s="517" t="str">
        <f t="shared" si="180"/>
        <v/>
      </c>
      <c r="GR41" s="517" t="str">
        <f t="shared" si="181"/>
        <v/>
      </c>
      <c r="GS41" s="517" t="str">
        <f t="shared" si="182"/>
        <v/>
      </c>
      <c r="GT41" s="517" t="str">
        <f t="shared" si="183"/>
        <v/>
      </c>
      <c r="GU41" s="517" t="str">
        <f t="shared" si="184"/>
        <v/>
      </c>
      <c r="GV41" s="517" t="str">
        <f t="shared" si="185"/>
        <v/>
      </c>
      <c r="GW41" s="517" t="str">
        <f t="shared" si="186"/>
        <v/>
      </c>
      <c r="GX41" s="517" t="str">
        <f t="shared" si="187"/>
        <v/>
      </c>
      <c r="GY41" s="517" t="str">
        <f t="shared" si="188"/>
        <v/>
      </c>
      <c r="GZ41" s="517" t="str">
        <f t="shared" si="189"/>
        <v/>
      </c>
      <c r="HA41" s="517" t="str">
        <f t="shared" si="190"/>
        <v/>
      </c>
      <c r="HB41" s="517" t="str">
        <f t="shared" si="191"/>
        <v/>
      </c>
      <c r="HC41" s="517" t="str">
        <f t="shared" si="192"/>
        <v/>
      </c>
      <c r="HD41" s="517" t="str">
        <f t="shared" si="193"/>
        <v/>
      </c>
      <c r="HE41" s="517" t="str">
        <f t="shared" si="194"/>
        <v/>
      </c>
      <c r="HF41" s="517" t="str">
        <f t="shared" si="195"/>
        <v/>
      </c>
      <c r="HG41" s="517" t="str">
        <f t="shared" si="196"/>
        <v/>
      </c>
      <c r="HH41" s="517" t="str">
        <f t="shared" si="197"/>
        <v/>
      </c>
      <c r="HI41" s="517" t="str">
        <f t="shared" si="198"/>
        <v/>
      </c>
      <c r="HJ41" s="517" t="str">
        <f t="shared" si="199"/>
        <v/>
      </c>
      <c r="HK41" s="517" t="str">
        <f t="shared" si="200"/>
        <v/>
      </c>
      <c r="HL41" s="517" t="str">
        <f t="shared" si="201"/>
        <v/>
      </c>
      <c r="HM41" s="517" t="str">
        <f t="shared" si="202"/>
        <v/>
      </c>
      <c r="HN41" s="517" t="str">
        <f t="shared" si="203"/>
        <v/>
      </c>
      <c r="HO41" s="517" t="str">
        <f t="shared" si="204"/>
        <v/>
      </c>
      <c r="HP41" s="517" t="str">
        <f t="shared" si="205"/>
        <v/>
      </c>
      <c r="HQ41" s="517" t="str">
        <f t="shared" si="206"/>
        <v/>
      </c>
      <c r="HR41" s="517" t="str">
        <f t="shared" si="207"/>
        <v/>
      </c>
      <c r="HS41" s="517" t="str">
        <f t="shared" si="208"/>
        <v/>
      </c>
      <c r="HT41" s="517" t="str">
        <f t="shared" si="209"/>
        <v/>
      </c>
      <c r="HU41" s="517" t="str">
        <f t="shared" si="210"/>
        <v/>
      </c>
      <c r="HV41" s="517" t="str">
        <f t="shared" si="211"/>
        <v/>
      </c>
      <c r="HW41" s="517" t="str">
        <f t="shared" si="212"/>
        <v/>
      </c>
      <c r="HX41" s="517" t="str">
        <f t="shared" si="213"/>
        <v/>
      </c>
      <c r="HY41" s="517" t="str">
        <f t="shared" si="214"/>
        <v/>
      </c>
      <c r="HZ41" s="517" t="str">
        <f t="shared" si="215"/>
        <v/>
      </c>
      <c r="IA41" s="517" t="str">
        <f t="shared" si="216"/>
        <v/>
      </c>
      <c r="IB41" s="517" t="str">
        <f t="shared" si="217"/>
        <v/>
      </c>
      <c r="IC41" s="517" t="str">
        <f t="shared" si="218"/>
        <v/>
      </c>
      <c r="ID41" s="518" t="str">
        <f t="shared" si="219"/>
        <v/>
      </c>
      <c r="IE41" s="518" t="str">
        <f t="shared" si="220"/>
        <v/>
      </c>
      <c r="IF41" s="518" t="str">
        <f t="shared" si="221"/>
        <v/>
      </c>
      <c r="IG41" s="518" t="str">
        <f t="shared" si="222"/>
        <v/>
      </c>
      <c r="IH41" s="518" t="str">
        <f t="shared" si="223"/>
        <v/>
      </c>
      <c r="II41" s="507" t="str">
        <f t="shared" si="224"/>
        <v/>
      </c>
      <c r="IJ41" s="507" t="str">
        <f t="shared" si="225"/>
        <v/>
      </c>
      <c r="IK41" s="507" t="str">
        <f t="shared" si="226"/>
        <v/>
      </c>
      <c r="IL41" s="507" t="str">
        <f t="shared" si="227"/>
        <v/>
      </c>
      <c r="IM41" s="507" t="str">
        <f t="shared" si="228"/>
        <v/>
      </c>
      <c r="IN41" s="507" t="str">
        <f t="shared" si="229"/>
        <v/>
      </c>
      <c r="IO41" s="507" t="str">
        <f t="shared" si="230"/>
        <v/>
      </c>
      <c r="IP41" s="507" t="str">
        <f t="shared" si="231"/>
        <v/>
      </c>
      <c r="IQ41" s="507" t="str">
        <f t="shared" si="232"/>
        <v/>
      </c>
      <c r="IR41" s="507" t="str">
        <f t="shared" si="233"/>
        <v/>
      </c>
      <c r="IS41" s="507" t="str">
        <f t="shared" si="234"/>
        <v/>
      </c>
      <c r="IT41" s="507" t="str">
        <f t="shared" si="235"/>
        <v/>
      </c>
      <c r="IU41" s="507" t="str">
        <f t="shared" si="236"/>
        <v/>
      </c>
      <c r="IV41" s="507" t="str">
        <f t="shared" si="237"/>
        <v/>
      </c>
      <c r="IW41" s="507" t="str">
        <f t="shared" si="238"/>
        <v/>
      </c>
      <c r="IX41" s="507" t="str">
        <f t="shared" si="239"/>
        <v/>
      </c>
      <c r="IY41" s="507" t="str">
        <f t="shared" si="240"/>
        <v/>
      </c>
      <c r="IZ41" s="507" t="str">
        <f t="shared" si="241"/>
        <v/>
      </c>
      <c r="JA41" s="507" t="str">
        <f t="shared" si="242"/>
        <v/>
      </c>
      <c r="JB41" s="507" t="str">
        <f t="shared" si="243"/>
        <v/>
      </c>
      <c r="JC41" s="516">
        <f t="shared" si="244"/>
        <v>0</v>
      </c>
      <c r="JD41" s="516">
        <f t="shared" si="245"/>
        <v>0</v>
      </c>
      <c r="JE41" s="516">
        <f t="shared" si="246"/>
        <v>0</v>
      </c>
      <c r="JF41" s="516">
        <f t="shared" si="247"/>
        <v>0</v>
      </c>
      <c r="JG41" s="516">
        <f t="shared" si="248"/>
        <v>0</v>
      </c>
      <c r="JH41" s="516">
        <f t="shared" si="249"/>
        <v>0</v>
      </c>
      <c r="JI41" s="516">
        <f t="shared" si="250"/>
        <v>0</v>
      </c>
      <c r="JJ41" s="516">
        <f t="shared" si="251"/>
        <v>0</v>
      </c>
      <c r="JK41" s="516">
        <f t="shared" si="252"/>
        <v>0</v>
      </c>
      <c r="JL41" s="516">
        <f t="shared" si="253"/>
        <v>0</v>
      </c>
      <c r="JM41" s="516">
        <f t="shared" si="254"/>
        <v>0</v>
      </c>
      <c r="JN41" s="516">
        <f t="shared" si="255"/>
        <v>0</v>
      </c>
      <c r="JO41" s="516">
        <f t="shared" si="256"/>
        <v>0</v>
      </c>
      <c r="JP41" s="516">
        <f t="shared" si="257"/>
        <v>0</v>
      </c>
      <c r="JQ41" s="516">
        <f t="shared" si="258"/>
        <v>0</v>
      </c>
    </row>
    <row r="42" spans="1:296" ht="12" customHeight="1">
      <c r="A42" s="115" t="str">
        <f t="shared" si="0"/>
        <v/>
      </c>
      <c r="B42" s="2822" t="s">
        <v>1837</v>
      </c>
      <c r="C42" s="2823"/>
      <c r="D42" s="2824"/>
      <c r="E42" s="2825"/>
      <c r="F42" s="2825"/>
      <c r="G42" s="2825"/>
      <c r="H42" s="2825"/>
      <c r="I42" s="2825"/>
      <c r="J42" s="2826"/>
      <c r="K42" s="795">
        <f t="shared" si="1"/>
        <v>0</v>
      </c>
      <c r="L42" s="795">
        <f t="shared" si="2"/>
        <v>0</v>
      </c>
      <c r="M42" s="2827"/>
      <c r="N42" s="2827"/>
      <c r="O42" s="2827"/>
      <c r="P42" s="2828"/>
      <c r="Q42" s="1258" t="str">
        <f t="shared" si="3"/>
        <v/>
      </c>
      <c r="R42" s="1259" t="str">
        <f>IF(H42="","",IF(C42="Efficiency",Q42/($O$6*VLOOKUP(0,'DCA Underwriting Assumptions'!$J$132:$K$137,2,FALSE)),Q42/($O$6*VLOOKUP(C42,'DCA Underwriting Assumptions'!$J$132:$K$137,2,FALSE))))</f>
        <v/>
      </c>
      <c r="S42" s="2829"/>
      <c r="T42" s="2830"/>
      <c r="U42" s="2831"/>
      <c r="V42" s="2746"/>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0" t="str">
        <f t="shared" si="134"/>
        <v/>
      </c>
      <c r="EX42" s="517" t="str">
        <f t="shared" si="135"/>
        <v/>
      </c>
      <c r="EY42" s="517" t="str">
        <f t="shared" si="136"/>
        <v/>
      </c>
      <c r="EZ42" s="517" t="str">
        <f t="shared" si="137"/>
        <v/>
      </c>
      <c r="FA42" s="517" t="str">
        <f t="shared" si="138"/>
        <v/>
      </c>
      <c r="FB42" s="517" t="str">
        <f t="shared" si="139"/>
        <v/>
      </c>
      <c r="FC42" s="517" t="str">
        <f t="shared" si="140"/>
        <v/>
      </c>
      <c r="FD42" s="517" t="str">
        <f t="shared" si="141"/>
        <v/>
      </c>
      <c r="FE42" s="517" t="str">
        <f t="shared" si="142"/>
        <v/>
      </c>
      <c r="FF42" s="517" t="str">
        <f t="shared" si="143"/>
        <v/>
      </c>
      <c r="FG42" s="517" t="str">
        <f t="shared" si="144"/>
        <v/>
      </c>
      <c r="FH42" s="517" t="str">
        <f t="shared" si="145"/>
        <v/>
      </c>
      <c r="FI42" s="517" t="str">
        <f t="shared" si="146"/>
        <v/>
      </c>
      <c r="FJ42" s="517" t="str">
        <f t="shared" si="147"/>
        <v/>
      </c>
      <c r="FK42" s="517" t="str">
        <f t="shared" si="148"/>
        <v/>
      </c>
      <c r="FL42" s="517" t="str">
        <f t="shared" si="149"/>
        <v/>
      </c>
      <c r="FM42" s="517" t="str">
        <f t="shared" si="150"/>
        <v/>
      </c>
      <c r="FN42" s="517" t="str">
        <f t="shared" si="151"/>
        <v/>
      </c>
      <c r="FO42" s="517" t="str">
        <f t="shared" si="152"/>
        <v/>
      </c>
      <c r="FP42" s="517" t="str">
        <f t="shared" si="153"/>
        <v/>
      </c>
      <c r="FQ42" s="517" t="str">
        <f t="shared" si="154"/>
        <v/>
      </c>
      <c r="FR42" s="517" t="str">
        <f t="shared" si="155"/>
        <v/>
      </c>
      <c r="FS42" s="517" t="str">
        <f t="shared" si="156"/>
        <v/>
      </c>
      <c r="FT42" s="517" t="str">
        <f t="shared" si="157"/>
        <v/>
      </c>
      <c r="FU42" s="517" t="str">
        <f t="shared" si="158"/>
        <v/>
      </c>
      <c r="FV42" s="517" t="str">
        <f t="shared" si="159"/>
        <v/>
      </c>
      <c r="FW42" s="517" t="str">
        <f t="shared" si="160"/>
        <v/>
      </c>
      <c r="FX42" s="517" t="str">
        <f t="shared" si="161"/>
        <v/>
      </c>
      <c r="FY42" s="517" t="str">
        <f t="shared" si="162"/>
        <v/>
      </c>
      <c r="FZ42" s="517" t="str">
        <f t="shared" si="163"/>
        <v/>
      </c>
      <c r="GA42" s="517" t="str">
        <f t="shared" si="164"/>
        <v/>
      </c>
      <c r="GB42" s="517" t="str">
        <f t="shared" si="165"/>
        <v/>
      </c>
      <c r="GC42" s="517" t="str">
        <f t="shared" si="166"/>
        <v/>
      </c>
      <c r="GD42" s="517" t="str">
        <f t="shared" si="167"/>
        <v/>
      </c>
      <c r="GE42" s="517" t="str">
        <f t="shared" si="168"/>
        <v/>
      </c>
      <c r="GF42" s="517" t="str">
        <f t="shared" si="169"/>
        <v/>
      </c>
      <c r="GG42" s="517" t="str">
        <f t="shared" si="170"/>
        <v/>
      </c>
      <c r="GH42" s="517" t="str">
        <f t="shared" si="171"/>
        <v/>
      </c>
      <c r="GI42" s="517" t="str">
        <f t="shared" si="172"/>
        <v/>
      </c>
      <c r="GJ42" s="517" t="str">
        <f t="shared" si="173"/>
        <v/>
      </c>
      <c r="GK42" s="517" t="str">
        <f t="shared" si="174"/>
        <v/>
      </c>
      <c r="GL42" s="517" t="str">
        <f t="shared" si="175"/>
        <v/>
      </c>
      <c r="GM42" s="517" t="str">
        <f t="shared" si="176"/>
        <v/>
      </c>
      <c r="GN42" s="517" t="str">
        <f t="shared" si="177"/>
        <v/>
      </c>
      <c r="GO42" s="517" t="str">
        <f t="shared" si="178"/>
        <v/>
      </c>
      <c r="GP42" s="517" t="str">
        <f t="shared" si="179"/>
        <v/>
      </c>
      <c r="GQ42" s="517" t="str">
        <f t="shared" si="180"/>
        <v/>
      </c>
      <c r="GR42" s="517" t="str">
        <f t="shared" si="181"/>
        <v/>
      </c>
      <c r="GS42" s="517" t="str">
        <f t="shared" si="182"/>
        <v/>
      </c>
      <c r="GT42" s="517" t="str">
        <f t="shared" si="183"/>
        <v/>
      </c>
      <c r="GU42" s="517" t="str">
        <f t="shared" si="184"/>
        <v/>
      </c>
      <c r="GV42" s="517" t="str">
        <f t="shared" si="185"/>
        <v/>
      </c>
      <c r="GW42" s="517" t="str">
        <f t="shared" si="186"/>
        <v/>
      </c>
      <c r="GX42" s="517" t="str">
        <f t="shared" si="187"/>
        <v/>
      </c>
      <c r="GY42" s="517" t="str">
        <f t="shared" si="188"/>
        <v/>
      </c>
      <c r="GZ42" s="517" t="str">
        <f t="shared" si="189"/>
        <v/>
      </c>
      <c r="HA42" s="517" t="str">
        <f t="shared" si="190"/>
        <v/>
      </c>
      <c r="HB42" s="517" t="str">
        <f t="shared" si="191"/>
        <v/>
      </c>
      <c r="HC42" s="517" t="str">
        <f t="shared" si="192"/>
        <v/>
      </c>
      <c r="HD42" s="517" t="str">
        <f t="shared" si="193"/>
        <v/>
      </c>
      <c r="HE42" s="517" t="str">
        <f t="shared" si="194"/>
        <v/>
      </c>
      <c r="HF42" s="517" t="str">
        <f t="shared" si="195"/>
        <v/>
      </c>
      <c r="HG42" s="517" t="str">
        <f t="shared" si="196"/>
        <v/>
      </c>
      <c r="HH42" s="517" t="str">
        <f t="shared" si="197"/>
        <v/>
      </c>
      <c r="HI42" s="517" t="str">
        <f t="shared" si="198"/>
        <v/>
      </c>
      <c r="HJ42" s="517" t="str">
        <f t="shared" si="199"/>
        <v/>
      </c>
      <c r="HK42" s="517" t="str">
        <f t="shared" si="200"/>
        <v/>
      </c>
      <c r="HL42" s="517" t="str">
        <f t="shared" si="201"/>
        <v/>
      </c>
      <c r="HM42" s="517" t="str">
        <f t="shared" si="202"/>
        <v/>
      </c>
      <c r="HN42" s="517" t="str">
        <f t="shared" si="203"/>
        <v/>
      </c>
      <c r="HO42" s="517" t="str">
        <f t="shared" si="204"/>
        <v/>
      </c>
      <c r="HP42" s="517" t="str">
        <f t="shared" si="205"/>
        <v/>
      </c>
      <c r="HQ42" s="517" t="str">
        <f t="shared" si="206"/>
        <v/>
      </c>
      <c r="HR42" s="517" t="str">
        <f t="shared" si="207"/>
        <v/>
      </c>
      <c r="HS42" s="517" t="str">
        <f t="shared" si="208"/>
        <v/>
      </c>
      <c r="HT42" s="517" t="str">
        <f t="shared" si="209"/>
        <v/>
      </c>
      <c r="HU42" s="517" t="str">
        <f t="shared" si="210"/>
        <v/>
      </c>
      <c r="HV42" s="517" t="str">
        <f t="shared" si="211"/>
        <v/>
      </c>
      <c r="HW42" s="517" t="str">
        <f t="shared" si="212"/>
        <v/>
      </c>
      <c r="HX42" s="517" t="str">
        <f t="shared" si="213"/>
        <v/>
      </c>
      <c r="HY42" s="517" t="str">
        <f t="shared" si="214"/>
        <v/>
      </c>
      <c r="HZ42" s="517" t="str">
        <f t="shared" si="215"/>
        <v/>
      </c>
      <c r="IA42" s="517" t="str">
        <f t="shared" si="216"/>
        <v/>
      </c>
      <c r="IB42" s="517" t="str">
        <f t="shared" si="217"/>
        <v/>
      </c>
      <c r="IC42" s="517" t="str">
        <f t="shared" si="218"/>
        <v/>
      </c>
      <c r="ID42" s="518" t="str">
        <f t="shared" si="219"/>
        <v/>
      </c>
      <c r="IE42" s="518" t="str">
        <f t="shared" si="220"/>
        <v/>
      </c>
      <c r="IF42" s="518" t="str">
        <f t="shared" si="221"/>
        <v/>
      </c>
      <c r="IG42" s="518" t="str">
        <f t="shared" si="222"/>
        <v/>
      </c>
      <c r="IH42" s="518" t="str">
        <f t="shared" si="223"/>
        <v/>
      </c>
      <c r="II42" s="507" t="str">
        <f t="shared" si="224"/>
        <v/>
      </c>
      <c r="IJ42" s="507" t="str">
        <f t="shared" si="225"/>
        <v/>
      </c>
      <c r="IK42" s="507" t="str">
        <f t="shared" si="226"/>
        <v/>
      </c>
      <c r="IL42" s="507" t="str">
        <f t="shared" si="227"/>
        <v/>
      </c>
      <c r="IM42" s="507" t="str">
        <f t="shared" si="228"/>
        <v/>
      </c>
      <c r="IN42" s="507" t="str">
        <f t="shared" si="229"/>
        <v/>
      </c>
      <c r="IO42" s="507" t="str">
        <f t="shared" si="230"/>
        <v/>
      </c>
      <c r="IP42" s="507" t="str">
        <f t="shared" si="231"/>
        <v/>
      </c>
      <c r="IQ42" s="507" t="str">
        <f t="shared" si="232"/>
        <v/>
      </c>
      <c r="IR42" s="507" t="str">
        <f t="shared" si="233"/>
        <v/>
      </c>
      <c r="IS42" s="507" t="str">
        <f t="shared" si="234"/>
        <v/>
      </c>
      <c r="IT42" s="507" t="str">
        <f t="shared" si="235"/>
        <v/>
      </c>
      <c r="IU42" s="507" t="str">
        <f t="shared" si="236"/>
        <v/>
      </c>
      <c r="IV42" s="507" t="str">
        <f t="shared" si="237"/>
        <v/>
      </c>
      <c r="IW42" s="507" t="str">
        <f t="shared" si="238"/>
        <v/>
      </c>
      <c r="IX42" s="507" t="str">
        <f t="shared" si="239"/>
        <v/>
      </c>
      <c r="IY42" s="507" t="str">
        <f t="shared" si="240"/>
        <v/>
      </c>
      <c r="IZ42" s="507" t="str">
        <f t="shared" si="241"/>
        <v/>
      </c>
      <c r="JA42" s="507" t="str">
        <f t="shared" si="242"/>
        <v/>
      </c>
      <c r="JB42" s="507" t="str">
        <f t="shared" si="243"/>
        <v/>
      </c>
      <c r="JC42" s="516">
        <f t="shared" si="244"/>
        <v>0</v>
      </c>
      <c r="JD42" s="516">
        <f t="shared" si="245"/>
        <v>0</v>
      </c>
      <c r="JE42" s="516">
        <f t="shared" si="246"/>
        <v>0</v>
      </c>
      <c r="JF42" s="516">
        <f t="shared" si="247"/>
        <v>0</v>
      </c>
      <c r="JG42" s="516">
        <f t="shared" si="248"/>
        <v>0</v>
      </c>
      <c r="JH42" s="516">
        <f t="shared" si="249"/>
        <v>0</v>
      </c>
      <c r="JI42" s="516">
        <f t="shared" si="250"/>
        <v>0</v>
      </c>
      <c r="JJ42" s="516">
        <f t="shared" si="251"/>
        <v>0</v>
      </c>
      <c r="JK42" s="516">
        <f t="shared" si="252"/>
        <v>0</v>
      </c>
      <c r="JL42" s="516">
        <f t="shared" si="253"/>
        <v>0</v>
      </c>
      <c r="JM42" s="516">
        <f t="shared" si="254"/>
        <v>0</v>
      </c>
      <c r="JN42" s="516">
        <f t="shared" si="255"/>
        <v>0</v>
      </c>
      <c r="JO42" s="516">
        <f t="shared" si="256"/>
        <v>0</v>
      </c>
      <c r="JP42" s="516">
        <f t="shared" si="257"/>
        <v>0</v>
      </c>
      <c r="JQ42" s="516">
        <f t="shared" si="258"/>
        <v>0</v>
      </c>
    </row>
    <row r="43" spans="1:296" ht="12" customHeight="1">
      <c r="A43" s="115" t="str">
        <f t="shared" si="0"/>
        <v/>
      </c>
      <c r="B43" s="2822" t="s">
        <v>1837</v>
      </c>
      <c r="C43" s="2823"/>
      <c r="D43" s="2824"/>
      <c r="E43" s="2825"/>
      <c r="F43" s="2825"/>
      <c r="G43" s="2825"/>
      <c r="H43" s="2825"/>
      <c r="I43" s="2825"/>
      <c r="J43" s="2826"/>
      <c r="K43" s="795">
        <f t="shared" si="1"/>
        <v>0</v>
      </c>
      <c r="L43" s="795">
        <f t="shared" si="2"/>
        <v>0</v>
      </c>
      <c r="M43" s="2827"/>
      <c r="N43" s="2827"/>
      <c r="O43" s="2827"/>
      <c r="P43" s="2828"/>
      <c r="Q43" s="1258" t="str">
        <f t="shared" si="3"/>
        <v/>
      </c>
      <c r="R43" s="1259" t="str">
        <f>IF(H43="","",IF(C43="Efficiency",Q43/($O$6*VLOOKUP(0,'DCA Underwriting Assumptions'!$J$132:$K$137,2,FALSE)),Q43/($O$6*VLOOKUP(C43,'DCA Underwriting Assumptions'!$J$132:$K$137,2,FALSE))))</f>
        <v/>
      </c>
      <c r="S43" s="2829"/>
      <c r="T43" s="2830"/>
      <c r="U43" s="2831"/>
      <c r="V43" s="2746"/>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0" t="str">
        <f t="shared" si="134"/>
        <v/>
      </c>
      <c r="EX43" s="517" t="str">
        <f t="shared" si="135"/>
        <v/>
      </c>
      <c r="EY43" s="517" t="str">
        <f t="shared" si="136"/>
        <v/>
      </c>
      <c r="EZ43" s="517" t="str">
        <f t="shared" si="137"/>
        <v/>
      </c>
      <c r="FA43" s="517" t="str">
        <f t="shared" si="138"/>
        <v/>
      </c>
      <c r="FB43" s="517" t="str">
        <f t="shared" si="139"/>
        <v/>
      </c>
      <c r="FC43" s="517" t="str">
        <f t="shared" si="140"/>
        <v/>
      </c>
      <c r="FD43" s="517" t="str">
        <f t="shared" si="141"/>
        <v/>
      </c>
      <c r="FE43" s="517" t="str">
        <f t="shared" si="142"/>
        <v/>
      </c>
      <c r="FF43" s="517" t="str">
        <f t="shared" si="143"/>
        <v/>
      </c>
      <c r="FG43" s="517" t="str">
        <f t="shared" si="144"/>
        <v/>
      </c>
      <c r="FH43" s="517" t="str">
        <f t="shared" si="145"/>
        <v/>
      </c>
      <c r="FI43" s="517" t="str">
        <f t="shared" si="146"/>
        <v/>
      </c>
      <c r="FJ43" s="517" t="str">
        <f t="shared" si="147"/>
        <v/>
      </c>
      <c r="FK43" s="517" t="str">
        <f t="shared" si="148"/>
        <v/>
      </c>
      <c r="FL43" s="517" t="str">
        <f t="shared" si="149"/>
        <v/>
      </c>
      <c r="FM43" s="517" t="str">
        <f t="shared" si="150"/>
        <v/>
      </c>
      <c r="FN43" s="517" t="str">
        <f t="shared" si="151"/>
        <v/>
      </c>
      <c r="FO43" s="517" t="str">
        <f t="shared" si="152"/>
        <v/>
      </c>
      <c r="FP43" s="517" t="str">
        <f t="shared" si="153"/>
        <v/>
      </c>
      <c r="FQ43" s="517" t="str">
        <f t="shared" si="154"/>
        <v/>
      </c>
      <c r="FR43" s="517" t="str">
        <f t="shared" si="155"/>
        <v/>
      </c>
      <c r="FS43" s="517" t="str">
        <f t="shared" si="156"/>
        <v/>
      </c>
      <c r="FT43" s="517" t="str">
        <f t="shared" si="157"/>
        <v/>
      </c>
      <c r="FU43" s="517" t="str">
        <f t="shared" si="158"/>
        <v/>
      </c>
      <c r="FV43" s="517" t="str">
        <f t="shared" si="159"/>
        <v/>
      </c>
      <c r="FW43" s="517" t="str">
        <f t="shared" si="160"/>
        <v/>
      </c>
      <c r="FX43" s="517" t="str">
        <f t="shared" si="161"/>
        <v/>
      </c>
      <c r="FY43" s="517" t="str">
        <f t="shared" si="162"/>
        <v/>
      </c>
      <c r="FZ43" s="517" t="str">
        <f t="shared" si="163"/>
        <v/>
      </c>
      <c r="GA43" s="517" t="str">
        <f t="shared" si="164"/>
        <v/>
      </c>
      <c r="GB43" s="517" t="str">
        <f t="shared" si="165"/>
        <v/>
      </c>
      <c r="GC43" s="517" t="str">
        <f t="shared" si="166"/>
        <v/>
      </c>
      <c r="GD43" s="517" t="str">
        <f t="shared" si="167"/>
        <v/>
      </c>
      <c r="GE43" s="517" t="str">
        <f t="shared" si="168"/>
        <v/>
      </c>
      <c r="GF43" s="517" t="str">
        <f t="shared" si="169"/>
        <v/>
      </c>
      <c r="GG43" s="517" t="str">
        <f t="shared" si="170"/>
        <v/>
      </c>
      <c r="GH43" s="517" t="str">
        <f t="shared" si="171"/>
        <v/>
      </c>
      <c r="GI43" s="517" t="str">
        <f t="shared" si="172"/>
        <v/>
      </c>
      <c r="GJ43" s="517" t="str">
        <f t="shared" si="173"/>
        <v/>
      </c>
      <c r="GK43" s="517" t="str">
        <f t="shared" si="174"/>
        <v/>
      </c>
      <c r="GL43" s="517" t="str">
        <f t="shared" si="175"/>
        <v/>
      </c>
      <c r="GM43" s="517" t="str">
        <f t="shared" si="176"/>
        <v/>
      </c>
      <c r="GN43" s="517" t="str">
        <f t="shared" si="177"/>
        <v/>
      </c>
      <c r="GO43" s="517" t="str">
        <f t="shared" si="178"/>
        <v/>
      </c>
      <c r="GP43" s="517" t="str">
        <f t="shared" si="179"/>
        <v/>
      </c>
      <c r="GQ43" s="517" t="str">
        <f t="shared" si="180"/>
        <v/>
      </c>
      <c r="GR43" s="517" t="str">
        <f t="shared" si="181"/>
        <v/>
      </c>
      <c r="GS43" s="517" t="str">
        <f t="shared" si="182"/>
        <v/>
      </c>
      <c r="GT43" s="517" t="str">
        <f t="shared" si="183"/>
        <v/>
      </c>
      <c r="GU43" s="517" t="str">
        <f t="shared" si="184"/>
        <v/>
      </c>
      <c r="GV43" s="517" t="str">
        <f t="shared" si="185"/>
        <v/>
      </c>
      <c r="GW43" s="517" t="str">
        <f t="shared" si="186"/>
        <v/>
      </c>
      <c r="GX43" s="517" t="str">
        <f t="shared" si="187"/>
        <v/>
      </c>
      <c r="GY43" s="517" t="str">
        <f t="shared" si="188"/>
        <v/>
      </c>
      <c r="GZ43" s="517" t="str">
        <f t="shared" si="189"/>
        <v/>
      </c>
      <c r="HA43" s="517" t="str">
        <f t="shared" si="190"/>
        <v/>
      </c>
      <c r="HB43" s="517" t="str">
        <f t="shared" si="191"/>
        <v/>
      </c>
      <c r="HC43" s="517" t="str">
        <f t="shared" si="192"/>
        <v/>
      </c>
      <c r="HD43" s="517" t="str">
        <f t="shared" si="193"/>
        <v/>
      </c>
      <c r="HE43" s="517" t="str">
        <f t="shared" si="194"/>
        <v/>
      </c>
      <c r="HF43" s="517" t="str">
        <f t="shared" si="195"/>
        <v/>
      </c>
      <c r="HG43" s="517" t="str">
        <f t="shared" si="196"/>
        <v/>
      </c>
      <c r="HH43" s="517" t="str">
        <f t="shared" si="197"/>
        <v/>
      </c>
      <c r="HI43" s="517" t="str">
        <f t="shared" si="198"/>
        <v/>
      </c>
      <c r="HJ43" s="517" t="str">
        <f t="shared" si="199"/>
        <v/>
      </c>
      <c r="HK43" s="517" t="str">
        <f t="shared" si="200"/>
        <v/>
      </c>
      <c r="HL43" s="517" t="str">
        <f t="shared" si="201"/>
        <v/>
      </c>
      <c r="HM43" s="517" t="str">
        <f t="shared" si="202"/>
        <v/>
      </c>
      <c r="HN43" s="517" t="str">
        <f t="shared" si="203"/>
        <v/>
      </c>
      <c r="HO43" s="517" t="str">
        <f t="shared" si="204"/>
        <v/>
      </c>
      <c r="HP43" s="517" t="str">
        <f t="shared" si="205"/>
        <v/>
      </c>
      <c r="HQ43" s="517" t="str">
        <f t="shared" si="206"/>
        <v/>
      </c>
      <c r="HR43" s="517" t="str">
        <f t="shared" si="207"/>
        <v/>
      </c>
      <c r="HS43" s="517" t="str">
        <f t="shared" si="208"/>
        <v/>
      </c>
      <c r="HT43" s="517" t="str">
        <f t="shared" si="209"/>
        <v/>
      </c>
      <c r="HU43" s="517" t="str">
        <f t="shared" si="210"/>
        <v/>
      </c>
      <c r="HV43" s="517" t="str">
        <f t="shared" si="211"/>
        <v/>
      </c>
      <c r="HW43" s="517" t="str">
        <f t="shared" si="212"/>
        <v/>
      </c>
      <c r="HX43" s="517" t="str">
        <f t="shared" si="213"/>
        <v/>
      </c>
      <c r="HY43" s="517" t="str">
        <f t="shared" si="214"/>
        <v/>
      </c>
      <c r="HZ43" s="517" t="str">
        <f t="shared" si="215"/>
        <v/>
      </c>
      <c r="IA43" s="517" t="str">
        <f t="shared" si="216"/>
        <v/>
      </c>
      <c r="IB43" s="517" t="str">
        <f t="shared" si="217"/>
        <v/>
      </c>
      <c r="IC43" s="517" t="str">
        <f t="shared" si="218"/>
        <v/>
      </c>
      <c r="ID43" s="518" t="str">
        <f t="shared" si="219"/>
        <v/>
      </c>
      <c r="IE43" s="518" t="str">
        <f t="shared" si="220"/>
        <v/>
      </c>
      <c r="IF43" s="518" t="str">
        <f t="shared" si="221"/>
        <v/>
      </c>
      <c r="IG43" s="518" t="str">
        <f t="shared" si="222"/>
        <v/>
      </c>
      <c r="IH43" s="518" t="str">
        <f t="shared" si="223"/>
        <v/>
      </c>
      <c r="II43" s="507" t="str">
        <f t="shared" si="224"/>
        <v/>
      </c>
      <c r="IJ43" s="507" t="str">
        <f t="shared" si="225"/>
        <v/>
      </c>
      <c r="IK43" s="507" t="str">
        <f t="shared" si="226"/>
        <v/>
      </c>
      <c r="IL43" s="507" t="str">
        <f t="shared" si="227"/>
        <v/>
      </c>
      <c r="IM43" s="507" t="str">
        <f t="shared" si="228"/>
        <v/>
      </c>
      <c r="IN43" s="507" t="str">
        <f t="shared" si="229"/>
        <v/>
      </c>
      <c r="IO43" s="507" t="str">
        <f t="shared" si="230"/>
        <v/>
      </c>
      <c r="IP43" s="507" t="str">
        <f t="shared" si="231"/>
        <v/>
      </c>
      <c r="IQ43" s="507" t="str">
        <f t="shared" si="232"/>
        <v/>
      </c>
      <c r="IR43" s="507" t="str">
        <f t="shared" si="233"/>
        <v/>
      </c>
      <c r="IS43" s="507" t="str">
        <f t="shared" si="234"/>
        <v/>
      </c>
      <c r="IT43" s="507" t="str">
        <f t="shared" si="235"/>
        <v/>
      </c>
      <c r="IU43" s="507" t="str">
        <f t="shared" si="236"/>
        <v/>
      </c>
      <c r="IV43" s="507" t="str">
        <f t="shared" si="237"/>
        <v/>
      </c>
      <c r="IW43" s="507" t="str">
        <f t="shared" si="238"/>
        <v/>
      </c>
      <c r="IX43" s="507" t="str">
        <f t="shared" si="239"/>
        <v/>
      </c>
      <c r="IY43" s="507" t="str">
        <f t="shared" si="240"/>
        <v/>
      </c>
      <c r="IZ43" s="507" t="str">
        <f t="shared" si="241"/>
        <v/>
      </c>
      <c r="JA43" s="507" t="str">
        <f t="shared" si="242"/>
        <v/>
      </c>
      <c r="JB43" s="507" t="str">
        <f t="shared" si="243"/>
        <v/>
      </c>
      <c r="JC43" s="516">
        <f t="shared" si="244"/>
        <v>0</v>
      </c>
      <c r="JD43" s="516">
        <f t="shared" si="245"/>
        <v>0</v>
      </c>
      <c r="JE43" s="516">
        <f t="shared" si="246"/>
        <v>0</v>
      </c>
      <c r="JF43" s="516">
        <f t="shared" si="247"/>
        <v>0</v>
      </c>
      <c r="JG43" s="516">
        <f t="shared" si="248"/>
        <v>0</v>
      </c>
      <c r="JH43" s="516">
        <f t="shared" si="249"/>
        <v>0</v>
      </c>
      <c r="JI43" s="516">
        <f t="shared" si="250"/>
        <v>0</v>
      </c>
      <c r="JJ43" s="516">
        <f t="shared" si="251"/>
        <v>0</v>
      </c>
      <c r="JK43" s="516">
        <f t="shared" si="252"/>
        <v>0</v>
      </c>
      <c r="JL43" s="516">
        <f t="shared" si="253"/>
        <v>0</v>
      </c>
      <c r="JM43" s="516">
        <f t="shared" si="254"/>
        <v>0</v>
      </c>
      <c r="JN43" s="516">
        <f t="shared" si="255"/>
        <v>0</v>
      </c>
      <c r="JO43" s="516">
        <f t="shared" si="256"/>
        <v>0</v>
      </c>
      <c r="JP43" s="516">
        <f t="shared" si="257"/>
        <v>0</v>
      </c>
      <c r="JQ43" s="516">
        <f t="shared" si="258"/>
        <v>0</v>
      </c>
    </row>
    <row r="44" spans="1:296" ht="12" customHeight="1">
      <c r="A44" s="115" t="str">
        <f t="shared" si="0"/>
        <v/>
      </c>
      <c r="B44" s="2822" t="s">
        <v>1837</v>
      </c>
      <c r="C44" s="2823"/>
      <c r="D44" s="2824"/>
      <c r="E44" s="2825"/>
      <c r="F44" s="2825"/>
      <c r="G44" s="2825"/>
      <c r="H44" s="2825"/>
      <c r="I44" s="2825"/>
      <c r="J44" s="2826"/>
      <c r="K44" s="795">
        <f t="shared" si="1"/>
        <v>0</v>
      </c>
      <c r="L44" s="795">
        <f t="shared" si="2"/>
        <v>0</v>
      </c>
      <c r="M44" s="2827"/>
      <c r="N44" s="2827"/>
      <c r="O44" s="2827"/>
      <c r="P44" s="2828"/>
      <c r="Q44" s="1258" t="str">
        <f t="shared" si="3"/>
        <v/>
      </c>
      <c r="R44" s="1259" t="str">
        <f>IF(H44="","",IF(C44="Efficiency",Q44/($O$6*VLOOKUP(0,'DCA Underwriting Assumptions'!$J$132:$K$137,2,FALSE)),Q44/($O$6*VLOOKUP(C44,'DCA Underwriting Assumptions'!$J$132:$K$137,2,FALSE))))</f>
        <v/>
      </c>
      <c r="S44" s="2829"/>
      <c r="T44" s="2830"/>
      <c r="U44" s="2831"/>
      <c r="V44" s="2746"/>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0" t="str">
        <f t="shared" si="134"/>
        <v/>
      </c>
      <c r="EX44" s="517" t="str">
        <f t="shared" si="135"/>
        <v/>
      </c>
      <c r="EY44" s="517" t="str">
        <f t="shared" si="136"/>
        <v/>
      </c>
      <c r="EZ44" s="517" t="str">
        <f t="shared" si="137"/>
        <v/>
      </c>
      <c r="FA44" s="517" t="str">
        <f t="shared" si="138"/>
        <v/>
      </c>
      <c r="FB44" s="517" t="str">
        <f t="shared" si="139"/>
        <v/>
      </c>
      <c r="FC44" s="517" t="str">
        <f t="shared" si="140"/>
        <v/>
      </c>
      <c r="FD44" s="517" t="str">
        <f t="shared" si="141"/>
        <v/>
      </c>
      <c r="FE44" s="517" t="str">
        <f t="shared" si="142"/>
        <v/>
      </c>
      <c r="FF44" s="517" t="str">
        <f t="shared" si="143"/>
        <v/>
      </c>
      <c r="FG44" s="517" t="str">
        <f t="shared" si="144"/>
        <v/>
      </c>
      <c r="FH44" s="517" t="str">
        <f t="shared" si="145"/>
        <v/>
      </c>
      <c r="FI44" s="517" t="str">
        <f t="shared" si="146"/>
        <v/>
      </c>
      <c r="FJ44" s="517" t="str">
        <f t="shared" si="147"/>
        <v/>
      </c>
      <c r="FK44" s="517" t="str">
        <f t="shared" si="148"/>
        <v/>
      </c>
      <c r="FL44" s="517" t="str">
        <f t="shared" si="149"/>
        <v/>
      </c>
      <c r="FM44" s="517" t="str">
        <f t="shared" si="150"/>
        <v/>
      </c>
      <c r="FN44" s="517" t="str">
        <f t="shared" si="151"/>
        <v/>
      </c>
      <c r="FO44" s="517" t="str">
        <f t="shared" si="152"/>
        <v/>
      </c>
      <c r="FP44" s="517" t="str">
        <f t="shared" si="153"/>
        <v/>
      </c>
      <c r="FQ44" s="517" t="str">
        <f t="shared" si="154"/>
        <v/>
      </c>
      <c r="FR44" s="517" t="str">
        <f t="shared" si="155"/>
        <v/>
      </c>
      <c r="FS44" s="517" t="str">
        <f t="shared" si="156"/>
        <v/>
      </c>
      <c r="FT44" s="517" t="str">
        <f t="shared" si="157"/>
        <v/>
      </c>
      <c r="FU44" s="517" t="str">
        <f t="shared" si="158"/>
        <v/>
      </c>
      <c r="FV44" s="517" t="str">
        <f t="shared" si="159"/>
        <v/>
      </c>
      <c r="FW44" s="517" t="str">
        <f t="shared" si="160"/>
        <v/>
      </c>
      <c r="FX44" s="517" t="str">
        <f t="shared" si="161"/>
        <v/>
      </c>
      <c r="FY44" s="517" t="str">
        <f t="shared" si="162"/>
        <v/>
      </c>
      <c r="FZ44" s="517" t="str">
        <f t="shared" si="163"/>
        <v/>
      </c>
      <c r="GA44" s="517" t="str">
        <f t="shared" si="164"/>
        <v/>
      </c>
      <c r="GB44" s="517" t="str">
        <f t="shared" si="165"/>
        <v/>
      </c>
      <c r="GC44" s="517" t="str">
        <f t="shared" si="166"/>
        <v/>
      </c>
      <c r="GD44" s="517" t="str">
        <f t="shared" si="167"/>
        <v/>
      </c>
      <c r="GE44" s="517" t="str">
        <f t="shared" si="168"/>
        <v/>
      </c>
      <c r="GF44" s="517" t="str">
        <f t="shared" si="169"/>
        <v/>
      </c>
      <c r="GG44" s="517" t="str">
        <f t="shared" si="170"/>
        <v/>
      </c>
      <c r="GH44" s="517" t="str">
        <f t="shared" si="171"/>
        <v/>
      </c>
      <c r="GI44" s="517" t="str">
        <f t="shared" si="172"/>
        <v/>
      </c>
      <c r="GJ44" s="517" t="str">
        <f t="shared" si="173"/>
        <v/>
      </c>
      <c r="GK44" s="517" t="str">
        <f t="shared" si="174"/>
        <v/>
      </c>
      <c r="GL44" s="517" t="str">
        <f t="shared" si="175"/>
        <v/>
      </c>
      <c r="GM44" s="517" t="str">
        <f t="shared" si="176"/>
        <v/>
      </c>
      <c r="GN44" s="517" t="str">
        <f t="shared" si="177"/>
        <v/>
      </c>
      <c r="GO44" s="517" t="str">
        <f t="shared" si="178"/>
        <v/>
      </c>
      <c r="GP44" s="517" t="str">
        <f t="shared" si="179"/>
        <v/>
      </c>
      <c r="GQ44" s="517" t="str">
        <f t="shared" si="180"/>
        <v/>
      </c>
      <c r="GR44" s="517" t="str">
        <f t="shared" si="181"/>
        <v/>
      </c>
      <c r="GS44" s="517" t="str">
        <f t="shared" si="182"/>
        <v/>
      </c>
      <c r="GT44" s="517" t="str">
        <f t="shared" si="183"/>
        <v/>
      </c>
      <c r="GU44" s="517" t="str">
        <f t="shared" si="184"/>
        <v/>
      </c>
      <c r="GV44" s="517" t="str">
        <f t="shared" si="185"/>
        <v/>
      </c>
      <c r="GW44" s="517" t="str">
        <f t="shared" si="186"/>
        <v/>
      </c>
      <c r="GX44" s="517" t="str">
        <f t="shared" si="187"/>
        <v/>
      </c>
      <c r="GY44" s="517" t="str">
        <f t="shared" si="188"/>
        <v/>
      </c>
      <c r="GZ44" s="517" t="str">
        <f t="shared" si="189"/>
        <v/>
      </c>
      <c r="HA44" s="517" t="str">
        <f t="shared" si="190"/>
        <v/>
      </c>
      <c r="HB44" s="517" t="str">
        <f t="shared" si="191"/>
        <v/>
      </c>
      <c r="HC44" s="517" t="str">
        <f t="shared" si="192"/>
        <v/>
      </c>
      <c r="HD44" s="517" t="str">
        <f t="shared" si="193"/>
        <v/>
      </c>
      <c r="HE44" s="517" t="str">
        <f t="shared" si="194"/>
        <v/>
      </c>
      <c r="HF44" s="517" t="str">
        <f t="shared" si="195"/>
        <v/>
      </c>
      <c r="HG44" s="517" t="str">
        <f t="shared" si="196"/>
        <v/>
      </c>
      <c r="HH44" s="517" t="str">
        <f t="shared" si="197"/>
        <v/>
      </c>
      <c r="HI44" s="517" t="str">
        <f t="shared" si="198"/>
        <v/>
      </c>
      <c r="HJ44" s="517" t="str">
        <f t="shared" si="199"/>
        <v/>
      </c>
      <c r="HK44" s="517" t="str">
        <f t="shared" si="200"/>
        <v/>
      </c>
      <c r="HL44" s="517" t="str">
        <f t="shared" si="201"/>
        <v/>
      </c>
      <c r="HM44" s="517" t="str">
        <f t="shared" si="202"/>
        <v/>
      </c>
      <c r="HN44" s="517" t="str">
        <f t="shared" si="203"/>
        <v/>
      </c>
      <c r="HO44" s="517" t="str">
        <f t="shared" si="204"/>
        <v/>
      </c>
      <c r="HP44" s="517" t="str">
        <f t="shared" si="205"/>
        <v/>
      </c>
      <c r="HQ44" s="517" t="str">
        <f t="shared" si="206"/>
        <v/>
      </c>
      <c r="HR44" s="517" t="str">
        <f t="shared" si="207"/>
        <v/>
      </c>
      <c r="HS44" s="517" t="str">
        <f t="shared" si="208"/>
        <v/>
      </c>
      <c r="HT44" s="517" t="str">
        <f t="shared" si="209"/>
        <v/>
      </c>
      <c r="HU44" s="517" t="str">
        <f t="shared" si="210"/>
        <v/>
      </c>
      <c r="HV44" s="517" t="str">
        <f t="shared" si="211"/>
        <v/>
      </c>
      <c r="HW44" s="517" t="str">
        <f t="shared" si="212"/>
        <v/>
      </c>
      <c r="HX44" s="517" t="str">
        <f t="shared" si="213"/>
        <v/>
      </c>
      <c r="HY44" s="517" t="str">
        <f t="shared" si="214"/>
        <v/>
      </c>
      <c r="HZ44" s="517" t="str">
        <f t="shared" si="215"/>
        <v/>
      </c>
      <c r="IA44" s="517" t="str">
        <f t="shared" si="216"/>
        <v/>
      </c>
      <c r="IB44" s="517" t="str">
        <f t="shared" si="217"/>
        <v/>
      </c>
      <c r="IC44" s="517" t="str">
        <f t="shared" si="218"/>
        <v/>
      </c>
      <c r="ID44" s="518" t="str">
        <f t="shared" si="219"/>
        <v/>
      </c>
      <c r="IE44" s="518" t="str">
        <f t="shared" si="220"/>
        <v/>
      </c>
      <c r="IF44" s="518" t="str">
        <f t="shared" si="221"/>
        <v/>
      </c>
      <c r="IG44" s="518" t="str">
        <f t="shared" si="222"/>
        <v/>
      </c>
      <c r="IH44" s="518" t="str">
        <f t="shared" si="223"/>
        <v/>
      </c>
      <c r="II44" s="507" t="str">
        <f t="shared" si="224"/>
        <v/>
      </c>
      <c r="IJ44" s="507" t="str">
        <f t="shared" si="225"/>
        <v/>
      </c>
      <c r="IK44" s="507" t="str">
        <f t="shared" si="226"/>
        <v/>
      </c>
      <c r="IL44" s="507" t="str">
        <f t="shared" si="227"/>
        <v/>
      </c>
      <c r="IM44" s="507" t="str">
        <f t="shared" si="228"/>
        <v/>
      </c>
      <c r="IN44" s="507" t="str">
        <f t="shared" si="229"/>
        <v/>
      </c>
      <c r="IO44" s="507" t="str">
        <f t="shared" si="230"/>
        <v/>
      </c>
      <c r="IP44" s="507" t="str">
        <f t="shared" si="231"/>
        <v/>
      </c>
      <c r="IQ44" s="507" t="str">
        <f t="shared" si="232"/>
        <v/>
      </c>
      <c r="IR44" s="507" t="str">
        <f t="shared" si="233"/>
        <v/>
      </c>
      <c r="IS44" s="507" t="str">
        <f t="shared" si="234"/>
        <v/>
      </c>
      <c r="IT44" s="507" t="str">
        <f t="shared" si="235"/>
        <v/>
      </c>
      <c r="IU44" s="507" t="str">
        <f t="shared" si="236"/>
        <v/>
      </c>
      <c r="IV44" s="507" t="str">
        <f t="shared" si="237"/>
        <v/>
      </c>
      <c r="IW44" s="507" t="str">
        <f t="shared" si="238"/>
        <v/>
      </c>
      <c r="IX44" s="507" t="str">
        <f t="shared" si="239"/>
        <v/>
      </c>
      <c r="IY44" s="507" t="str">
        <f t="shared" si="240"/>
        <v/>
      </c>
      <c r="IZ44" s="507" t="str">
        <f t="shared" si="241"/>
        <v/>
      </c>
      <c r="JA44" s="507" t="str">
        <f t="shared" si="242"/>
        <v/>
      </c>
      <c r="JB44" s="507" t="str">
        <f t="shared" si="243"/>
        <v/>
      </c>
      <c r="JC44" s="516">
        <f t="shared" si="244"/>
        <v>0</v>
      </c>
      <c r="JD44" s="516">
        <f t="shared" si="245"/>
        <v>0</v>
      </c>
      <c r="JE44" s="516">
        <f t="shared" si="246"/>
        <v>0</v>
      </c>
      <c r="JF44" s="516">
        <f t="shared" si="247"/>
        <v>0</v>
      </c>
      <c r="JG44" s="516">
        <f t="shared" si="248"/>
        <v>0</v>
      </c>
      <c r="JH44" s="516">
        <f t="shared" si="249"/>
        <v>0</v>
      </c>
      <c r="JI44" s="516">
        <f t="shared" si="250"/>
        <v>0</v>
      </c>
      <c r="JJ44" s="516">
        <f t="shared" si="251"/>
        <v>0</v>
      </c>
      <c r="JK44" s="516">
        <f t="shared" si="252"/>
        <v>0</v>
      </c>
      <c r="JL44" s="516">
        <f t="shared" si="253"/>
        <v>0</v>
      </c>
      <c r="JM44" s="516">
        <f t="shared" si="254"/>
        <v>0</v>
      </c>
      <c r="JN44" s="516">
        <f t="shared" si="255"/>
        <v>0</v>
      </c>
      <c r="JO44" s="516">
        <f t="shared" si="256"/>
        <v>0</v>
      </c>
      <c r="JP44" s="516">
        <f t="shared" si="257"/>
        <v>0</v>
      </c>
      <c r="JQ44" s="516">
        <f t="shared" si="258"/>
        <v>0</v>
      </c>
    </row>
    <row r="45" spans="1:296" ht="12" customHeight="1">
      <c r="A45" s="115" t="str">
        <f t="shared" si="0"/>
        <v/>
      </c>
      <c r="B45" s="2822" t="s">
        <v>1837</v>
      </c>
      <c r="C45" s="2823"/>
      <c r="D45" s="2824"/>
      <c r="E45" s="2825"/>
      <c r="F45" s="2825"/>
      <c r="G45" s="2825"/>
      <c r="H45" s="2825"/>
      <c r="I45" s="2825"/>
      <c r="J45" s="2826"/>
      <c r="K45" s="795">
        <f t="shared" si="1"/>
        <v>0</v>
      </c>
      <c r="L45" s="795">
        <f t="shared" si="2"/>
        <v>0</v>
      </c>
      <c r="M45" s="2827"/>
      <c r="N45" s="2827"/>
      <c r="O45" s="2827"/>
      <c r="P45" s="2828"/>
      <c r="Q45" s="1258" t="str">
        <f t="shared" si="3"/>
        <v/>
      </c>
      <c r="R45" s="1259" t="str">
        <f>IF(H45="","",IF(C45="Efficiency",Q45/($O$6*VLOOKUP(0,'DCA Underwriting Assumptions'!$J$132:$K$137,2,FALSE)),Q45/($O$6*VLOOKUP(C45,'DCA Underwriting Assumptions'!$J$132:$K$137,2,FALSE))))</f>
        <v/>
      </c>
      <c r="S45" s="2829"/>
      <c r="T45" s="2830"/>
      <c r="U45" s="2831"/>
      <c r="V45" s="2746"/>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0" t="str">
        <f t="shared" si="134"/>
        <v/>
      </c>
      <c r="EX45" s="517" t="str">
        <f t="shared" si="135"/>
        <v/>
      </c>
      <c r="EY45" s="517" t="str">
        <f t="shared" si="136"/>
        <v/>
      </c>
      <c r="EZ45" s="517" t="str">
        <f t="shared" si="137"/>
        <v/>
      </c>
      <c r="FA45" s="517" t="str">
        <f t="shared" si="138"/>
        <v/>
      </c>
      <c r="FB45" s="517" t="str">
        <f t="shared" si="139"/>
        <v/>
      </c>
      <c r="FC45" s="517" t="str">
        <f t="shared" si="140"/>
        <v/>
      </c>
      <c r="FD45" s="517" t="str">
        <f t="shared" si="141"/>
        <v/>
      </c>
      <c r="FE45" s="517" t="str">
        <f t="shared" si="142"/>
        <v/>
      </c>
      <c r="FF45" s="517" t="str">
        <f t="shared" si="143"/>
        <v/>
      </c>
      <c r="FG45" s="517" t="str">
        <f t="shared" si="144"/>
        <v/>
      </c>
      <c r="FH45" s="517" t="str">
        <f t="shared" si="145"/>
        <v/>
      </c>
      <c r="FI45" s="517" t="str">
        <f t="shared" si="146"/>
        <v/>
      </c>
      <c r="FJ45" s="517" t="str">
        <f t="shared" si="147"/>
        <v/>
      </c>
      <c r="FK45" s="517" t="str">
        <f t="shared" si="148"/>
        <v/>
      </c>
      <c r="FL45" s="517" t="str">
        <f t="shared" si="149"/>
        <v/>
      </c>
      <c r="FM45" s="517" t="str">
        <f t="shared" si="150"/>
        <v/>
      </c>
      <c r="FN45" s="517" t="str">
        <f t="shared" si="151"/>
        <v/>
      </c>
      <c r="FO45" s="517" t="str">
        <f t="shared" si="152"/>
        <v/>
      </c>
      <c r="FP45" s="517" t="str">
        <f t="shared" si="153"/>
        <v/>
      </c>
      <c r="FQ45" s="517" t="str">
        <f t="shared" si="154"/>
        <v/>
      </c>
      <c r="FR45" s="517" t="str">
        <f t="shared" si="155"/>
        <v/>
      </c>
      <c r="FS45" s="517" t="str">
        <f t="shared" si="156"/>
        <v/>
      </c>
      <c r="FT45" s="517" t="str">
        <f t="shared" si="157"/>
        <v/>
      </c>
      <c r="FU45" s="517" t="str">
        <f t="shared" si="158"/>
        <v/>
      </c>
      <c r="FV45" s="517" t="str">
        <f t="shared" si="159"/>
        <v/>
      </c>
      <c r="FW45" s="517" t="str">
        <f t="shared" si="160"/>
        <v/>
      </c>
      <c r="FX45" s="517" t="str">
        <f t="shared" si="161"/>
        <v/>
      </c>
      <c r="FY45" s="517" t="str">
        <f t="shared" si="162"/>
        <v/>
      </c>
      <c r="FZ45" s="517" t="str">
        <f t="shared" si="163"/>
        <v/>
      </c>
      <c r="GA45" s="517" t="str">
        <f t="shared" si="164"/>
        <v/>
      </c>
      <c r="GB45" s="517" t="str">
        <f t="shared" si="165"/>
        <v/>
      </c>
      <c r="GC45" s="517" t="str">
        <f t="shared" si="166"/>
        <v/>
      </c>
      <c r="GD45" s="517" t="str">
        <f t="shared" si="167"/>
        <v/>
      </c>
      <c r="GE45" s="517" t="str">
        <f t="shared" si="168"/>
        <v/>
      </c>
      <c r="GF45" s="517" t="str">
        <f t="shared" si="169"/>
        <v/>
      </c>
      <c r="GG45" s="517" t="str">
        <f t="shared" si="170"/>
        <v/>
      </c>
      <c r="GH45" s="517" t="str">
        <f t="shared" si="171"/>
        <v/>
      </c>
      <c r="GI45" s="517" t="str">
        <f t="shared" si="172"/>
        <v/>
      </c>
      <c r="GJ45" s="517" t="str">
        <f t="shared" si="173"/>
        <v/>
      </c>
      <c r="GK45" s="517" t="str">
        <f t="shared" si="174"/>
        <v/>
      </c>
      <c r="GL45" s="517" t="str">
        <f t="shared" si="175"/>
        <v/>
      </c>
      <c r="GM45" s="517" t="str">
        <f t="shared" si="176"/>
        <v/>
      </c>
      <c r="GN45" s="517" t="str">
        <f t="shared" si="177"/>
        <v/>
      </c>
      <c r="GO45" s="517" t="str">
        <f t="shared" si="178"/>
        <v/>
      </c>
      <c r="GP45" s="517" t="str">
        <f t="shared" si="179"/>
        <v/>
      </c>
      <c r="GQ45" s="517" t="str">
        <f t="shared" si="180"/>
        <v/>
      </c>
      <c r="GR45" s="517" t="str">
        <f t="shared" si="181"/>
        <v/>
      </c>
      <c r="GS45" s="517" t="str">
        <f t="shared" si="182"/>
        <v/>
      </c>
      <c r="GT45" s="517" t="str">
        <f t="shared" si="183"/>
        <v/>
      </c>
      <c r="GU45" s="517" t="str">
        <f t="shared" si="184"/>
        <v/>
      </c>
      <c r="GV45" s="517" t="str">
        <f t="shared" si="185"/>
        <v/>
      </c>
      <c r="GW45" s="517" t="str">
        <f t="shared" si="186"/>
        <v/>
      </c>
      <c r="GX45" s="517" t="str">
        <f t="shared" si="187"/>
        <v/>
      </c>
      <c r="GY45" s="517" t="str">
        <f t="shared" si="188"/>
        <v/>
      </c>
      <c r="GZ45" s="517" t="str">
        <f t="shared" si="189"/>
        <v/>
      </c>
      <c r="HA45" s="517" t="str">
        <f t="shared" si="190"/>
        <v/>
      </c>
      <c r="HB45" s="517" t="str">
        <f t="shared" si="191"/>
        <v/>
      </c>
      <c r="HC45" s="517" t="str">
        <f t="shared" si="192"/>
        <v/>
      </c>
      <c r="HD45" s="517" t="str">
        <f t="shared" si="193"/>
        <v/>
      </c>
      <c r="HE45" s="517" t="str">
        <f t="shared" si="194"/>
        <v/>
      </c>
      <c r="HF45" s="517" t="str">
        <f t="shared" si="195"/>
        <v/>
      </c>
      <c r="HG45" s="517" t="str">
        <f t="shared" si="196"/>
        <v/>
      </c>
      <c r="HH45" s="517" t="str">
        <f t="shared" si="197"/>
        <v/>
      </c>
      <c r="HI45" s="517" t="str">
        <f t="shared" si="198"/>
        <v/>
      </c>
      <c r="HJ45" s="517" t="str">
        <f t="shared" si="199"/>
        <v/>
      </c>
      <c r="HK45" s="517" t="str">
        <f t="shared" si="200"/>
        <v/>
      </c>
      <c r="HL45" s="517" t="str">
        <f t="shared" si="201"/>
        <v/>
      </c>
      <c r="HM45" s="517" t="str">
        <f t="shared" si="202"/>
        <v/>
      </c>
      <c r="HN45" s="517" t="str">
        <f t="shared" si="203"/>
        <v/>
      </c>
      <c r="HO45" s="517" t="str">
        <f t="shared" si="204"/>
        <v/>
      </c>
      <c r="HP45" s="517" t="str">
        <f t="shared" si="205"/>
        <v/>
      </c>
      <c r="HQ45" s="517" t="str">
        <f t="shared" si="206"/>
        <v/>
      </c>
      <c r="HR45" s="517" t="str">
        <f t="shared" si="207"/>
        <v/>
      </c>
      <c r="HS45" s="517" t="str">
        <f t="shared" si="208"/>
        <v/>
      </c>
      <c r="HT45" s="517" t="str">
        <f t="shared" si="209"/>
        <v/>
      </c>
      <c r="HU45" s="517" t="str">
        <f t="shared" si="210"/>
        <v/>
      </c>
      <c r="HV45" s="517" t="str">
        <f t="shared" si="211"/>
        <v/>
      </c>
      <c r="HW45" s="517" t="str">
        <f t="shared" si="212"/>
        <v/>
      </c>
      <c r="HX45" s="517" t="str">
        <f t="shared" si="213"/>
        <v/>
      </c>
      <c r="HY45" s="517" t="str">
        <f t="shared" si="214"/>
        <v/>
      </c>
      <c r="HZ45" s="517" t="str">
        <f t="shared" si="215"/>
        <v/>
      </c>
      <c r="IA45" s="517" t="str">
        <f t="shared" si="216"/>
        <v/>
      </c>
      <c r="IB45" s="517" t="str">
        <f t="shared" si="217"/>
        <v/>
      </c>
      <c r="IC45" s="517" t="str">
        <f t="shared" si="218"/>
        <v/>
      </c>
      <c r="ID45" s="518" t="str">
        <f t="shared" si="219"/>
        <v/>
      </c>
      <c r="IE45" s="518" t="str">
        <f t="shared" si="220"/>
        <v/>
      </c>
      <c r="IF45" s="518" t="str">
        <f t="shared" si="221"/>
        <v/>
      </c>
      <c r="IG45" s="518" t="str">
        <f t="shared" si="222"/>
        <v/>
      </c>
      <c r="IH45" s="518" t="str">
        <f t="shared" si="223"/>
        <v/>
      </c>
      <c r="II45" s="507" t="str">
        <f t="shared" si="224"/>
        <v/>
      </c>
      <c r="IJ45" s="507" t="str">
        <f t="shared" si="225"/>
        <v/>
      </c>
      <c r="IK45" s="507" t="str">
        <f t="shared" si="226"/>
        <v/>
      </c>
      <c r="IL45" s="507" t="str">
        <f t="shared" si="227"/>
        <v/>
      </c>
      <c r="IM45" s="507" t="str">
        <f t="shared" si="228"/>
        <v/>
      </c>
      <c r="IN45" s="507" t="str">
        <f t="shared" si="229"/>
        <v/>
      </c>
      <c r="IO45" s="507" t="str">
        <f t="shared" si="230"/>
        <v/>
      </c>
      <c r="IP45" s="507" t="str">
        <f t="shared" si="231"/>
        <v/>
      </c>
      <c r="IQ45" s="507" t="str">
        <f t="shared" si="232"/>
        <v/>
      </c>
      <c r="IR45" s="507" t="str">
        <f t="shared" si="233"/>
        <v/>
      </c>
      <c r="IS45" s="507" t="str">
        <f t="shared" si="234"/>
        <v/>
      </c>
      <c r="IT45" s="507" t="str">
        <f t="shared" si="235"/>
        <v/>
      </c>
      <c r="IU45" s="507" t="str">
        <f t="shared" si="236"/>
        <v/>
      </c>
      <c r="IV45" s="507" t="str">
        <f t="shared" si="237"/>
        <v/>
      </c>
      <c r="IW45" s="507" t="str">
        <f t="shared" si="238"/>
        <v/>
      </c>
      <c r="IX45" s="507" t="str">
        <f t="shared" si="239"/>
        <v/>
      </c>
      <c r="IY45" s="507" t="str">
        <f t="shared" si="240"/>
        <v/>
      </c>
      <c r="IZ45" s="507" t="str">
        <f t="shared" si="241"/>
        <v/>
      </c>
      <c r="JA45" s="507" t="str">
        <f t="shared" si="242"/>
        <v/>
      </c>
      <c r="JB45" s="507" t="str">
        <f t="shared" si="243"/>
        <v/>
      </c>
      <c r="JC45" s="516">
        <f t="shared" si="244"/>
        <v>0</v>
      </c>
      <c r="JD45" s="516">
        <f t="shared" si="245"/>
        <v>0</v>
      </c>
      <c r="JE45" s="516">
        <f t="shared" si="246"/>
        <v>0</v>
      </c>
      <c r="JF45" s="516">
        <f t="shared" si="247"/>
        <v>0</v>
      </c>
      <c r="JG45" s="516">
        <f t="shared" si="248"/>
        <v>0</v>
      </c>
      <c r="JH45" s="516">
        <f t="shared" si="249"/>
        <v>0</v>
      </c>
      <c r="JI45" s="516">
        <f t="shared" si="250"/>
        <v>0</v>
      </c>
      <c r="JJ45" s="516">
        <f t="shared" si="251"/>
        <v>0</v>
      </c>
      <c r="JK45" s="516">
        <f t="shared" si="252"/>
        <v>0</v>
      </c>
      <c r="JL45" s="516">
        <f t="shared" si="253"/>
        <v>0</v>
      </c>
      <c r="JM45" s="516">
        <f t="shared" si="254"/>
        <v>0</v>
      </c>
      <c r="JN45" s="516">
        <f t="shared" si="255"/>
        <v>0</v>
      </c>
      <c r="JO45" s="516">
        <f t="shared" si="256"/>
        <v>0</v>
      </c>
      <c r="JP45" s="516">
        <f t="shared" si="257"/>
        <v>0</v>
      </c>
      <c r="JQ45" s="516">
        <f t="shared" si="258"/>
        <v>0</v>
      </c>
    </row>
    <row r="46" spans="1:296" ht="12" customHeight="1">
      <c r="A46" s="115" t="str">
        <f t="shared" si="0"/>
        <v/>
      </c>
      <c r="B46" s="2822" t="s">
        <v>1837</v>
      </c>
      <c r="C46" s="2823"/>
      <c r="D46" s="2824"/>
      <c r="E46" s="2825"/>
      <c r="F46" s="2825"/>
      <c r="G46" s="2825"/>
      <c r="H46" s="2825"/>
      <c r="I46" s="2825"/>
      <c r="J46" s="2826"/>
      <c r="K46" s="795">
        <f t="shared" si="1"/>
        <v>0</v>
      </c>
      <c r="L46" s="795">
        <f t="shared" si="2"/>
        <v>0</v>
      </c>
      <c r="M46" s="2827"/>
      <c r="N46" s="2827"/>
      <c r="O46" s="2827"/>
      <c r="P46" s="2828"/>
      <c r="Q46" s="1258" t="str">
        <f t="shared" si="3"/>
        <v/>
      </c>
      <c r="R46" s="1259" t="str">
        <f>IF(H46="","",IF(C46="Efficiency",Q46/($O$6*VLOOKUP(0,'DCA Underwriting Assumptions'!$J$132:$K$137,2,FALSE)),Q46/($O$6*VLOOKUP(C46,'DCA Underwriting Assumptions'!$J$132:$K$137,2,FALSE))))</f>
        <v/>
      </c>
      <c r="S46" s="2829"/>
      <c r="T46" s="2830"/>
      <c r="U46" s="2831"/>
      <c r="V46" s="2746"/>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0" t="str">
        <f t="shared" si="134"/>
        <v/>
      </c>
      <c r="EX46" s="517" t="str">
        <f t="shared" si="135"/>
        <v/>
      </c>
      <c r="EY46" s="517" t="str">
        <f t="shared" si="136"/>
        <v/>
      </c>
      <c r="EZ46" s="517" t="str">
        <f t="shared" si="137"/>
        <v/>
      </c>
      <c r="FA46" s="517" t="str">
        <f t="shared" si="138"/>
        <v/>
      </c>
      <c r="FB46" s="517" t="str">
        <f t="shared" si="139"/>
        <v/>
      </c>
      <c r="FC46" s="517" t="str">
        <f t="shared" si="140"/>
        <v/>
      </c>
      <c r="FD46" s="517" t="str">
        <f t="shared" si="141"/>
        <v/>
      </c>
      <c r="FE46" s="517" t="str">
        <f t="shared" si="142"/>
        <v/>
      </c>
      <c r="FF46" s="517" t="str">
        <f t="shared" si="143"/>
        <v/>
      </c>
      <c r="FG46" s="517" t="str">
        <f t="shared" si="144"/>
        <v/>
      </c>
      <c r="FH46" s="517" t="str">
        <f t="shared" si="145"/>
        <v/>
      </c>
      <c r="FI46" s="517" t="str">
        <f t="shared" si="146"/>
        <v/>
      </c>
      <c r="FJ46" s="517" t="str">
        <f t="shared" si="147"/>
        <v/>
      </c>
      <c r="FK46" s="517" t="str">
        <f t="shared" si="148"/>
        <v/>
      </c>
      <c r="FL46" s="517" t="str">
        <f t="shared" si="149"/>
        <v/>
      </c>
      <c r="FM46" s="517" t="str">
        <f t="shared" si="150"/>
        <v/>
      </c>
      <c r="FN46" s="517" t="str">
        <f t="shared" si="151"/>
        <v/>
      </c>
      <c r="FO46" s="517" t="str">
        <f t="shared" si="152"/>
        <v/>
      </c>
      <c r="FP46" s="517" t="str">
        <f t="shared" si="153"/>
        <v/>
      </c>
      <c r="FQ46" s="517" t="str">
        <f t="shared" si="154"/>
        <v/>
      </c>
      <c r="FR46" s="517" t="str">
        <f t="shared" si="155"/>
        <v/>
      </c>
      <c r="FS46" s="517" t="str">
        <f t="shared" si="156"/>
        <v/>
      </c>
      <c r="FT46" s="517" t="str">
        <f t="shared" si="157"/>
        <v/>
      </c>
      <c r="FU46" s="517" t="str">
        <f t="shared" si="158"/>
        <v/>
      </c>
      <c r="FV46" s="517" t="str">
        <f t="shared" si="159"/>
        <v/>
      </c>
      <c r="FW46" s="517" t="str">
        <f t="shared" si="160"/>
        <v/>
      </c>
      <c r="FX46" s="517" t="str">
        <f t="shared" si="161"/>
        <v/>
      </c>
      <c r="FY46" s="517" t="str">
        <f t="shared" si="162"/>
        <v/>
      </c>
      <c r="FZ46" s="517" t="str">
        <f t="shared" si="163"/>
        <v/>
      </c>
      <c r="GA46" s="517" t="str">
        <f t="shared" si="164"/>
        <v/>
      </c>
      <c r="GB46" s="517" t="str">
        <f t="shared" si="165"/>
        <v/>
      </c>
      <c r="GC46" s="517" t="str">
        <f t="shared" si="166"/>
        <v/>
      </c>
      <c r="GD46" s="517" t="str">
        <f t="shared" si="167"/>
        <v/>
      </c>
      <c r="GE46" s="517" t="str">
        <f t="shared" si="168"/>
        <v/>
      </c>
      <c r="GF46" s="517" t="str">
        <f t="shared" si="169"/>
        <v/>
      </c>
      <c r="GG46" s="517" t="str">
        <f t="shared" si="170"/>
        <v/>
      </c>
      <c r="GH46" s="517" t="str">
        <f t="shared" si="171"/>
        <v/>
      </c>
      <c r="GI46" s="517" t="str">
        <f t="shared" si="172"/>
        <v/>
      </c>
      <c r="GJ46" s="517" t="str">
        <f t="shared" si="173"/>
        <v/>
      </c>
      <c r="GK46" s="517" t="str">
        <f t="shared" si="174"/>
        <v/>
      </c>
      <c r="GL46" s="517" t="str">
        <f t="shared" si="175"/>
        <v/>
      </c>
      <c r="GM46" s="517" t="str">
        <f t="shared" si="176"/>
        <v/>
      </c>
      <c r="GN46" s="517" t="str">
        <f t="shared" si="177"/>
        <v/>
      </c>
      <c r="GO46" s="517" t="str">
        <f t="shared" si="178"/>
        <v/>
      </c>
      <c r="GP46" s="517" t="str">
        <f t="shared" si="179"/>
        <v/>
      </c>
      <c r="GQ46" s="517" t="str">
        <f t="shared" si="180"/>
        <v/>
      </c>
      <c r="GR46" s="517" t="str">
        <f t="shared" si="181"/>
        <v/>
      </c>
      <c r="GS46" s="517" t="str">
        <f t="shared" si="182"/>
        <v/>
      </c>
      <c r="GT46" s="517" t="str">
        <f t="shared" si="183"/>
        <v/>
      </c>
      <c r="GU46" s="517" t="str">
        <f t="shared" si="184"/>
        <v/>
      </c>
      <c r="GV46" s="517" t="str">
        <f t="shared" si="185"/>
        <v/>
      </c>
      <c r="GW46" s="517" t="str">
        <f t="shared" si="186"/>
        <v/>
      </c>
      <c r="GX46" s="517" t="str">
        <f t="shared" si="187"/>
        <v/>
      </c>
      <c r="GY46" s="517" t="str">
        <f t="shared" si="188"/>
        <v/>
      </c>
      <c r="GZ46" s="517" t="str">
        <f t="shared" si="189"/>
        <v/>
      </c>
      <c r="HA46" s="517" t="str">
        <f t="shared" si="190"/>
        <v/>
      </c>
      <c r="HB46" s="517" t="str">
        <f t="shared" si="191"/>
        <v/>
      </c>
      <c r="HC46" s="517" t="str">
        <f t="shared" si="192"/>
        <v/>
      </c>
      <c r="HD46" s="517" t="str">
        <f t="shared" si="193"/>
        <v/>
      </c>
      <c r="HE46" s="517" t="str">
        <f t="shared" si="194"/>
        <v/>
      </c>
      <c r="HF46" s="517" t="str">
        <f t="shared" si="195"/>
        <v/>
      </c>
      <c r="HG46" s="517" t="str">
        <f t="shared" si="196"/>
        <v/>
      </c>
      <c r="HH46" s="517" t="str">
        <f t="shared" si="197"/>
        <v/>
      </c>
      <c r="HI46" s="517" t="str">
        <f t="shared" si="198"/>
        <v/>
      </c>
      <c r="HJ46" s="517" t="str">
        <f t="shared" si="199"/>
        <v/>
      </c>
      <c r="HK46" s="517" t="str">
        <f t="shared" si="200"/>
        <v/>
      </c>
      <c r="HL46" s="517" t="str">
        <f t="shared" si="201"/>
        <v/>
      </c>
      <c r="HM46" s="517" t="str">
        <f t="shared" si="202"/>
        <v/>
      </c>
      <c r="HN46" s="517" t="str">
        <f t="shared" si="203"/>
        <v/>
      </c>
      <c r="HO46" s="517" t="str">
        <f t="shared" si="204"/>
        <v/>
      </c>
      <c r="HP46" s="517" t="str">
        <f t="shared" si="205"/>
        <v/>
      </c>
      <c r="HQ46" s="517" t="str">
        <f t="shared" si="206"/>
        <v/>
      </c>
      <c r="HR46" s="517" t="str">
        <f t="shared" si="207"/>
        <v/>
      </c>
      <c r="HS46" s="517" t="str">
        <f t="shared" si="208"/>
        <v/>
      </c>
      <c r="HT46" s="517" t="str">
        <f t="shared" si="209"/>
        <v/>
      </c>
      <c r="HU46" s="517" t="str">
        <f t="shared" si="210"/>
        <v/>
      </c>
      <c r="HV46" s="517" t="str">
        <f t="shared" si="211"/>
        <v/>
      </c>
      <c r="HW46" s="517" t="str">
        <f t="shared" si="212"/>
        <v/>
      </c>
      <c r="HX46" s="517" t="str">
        <f t="shared" si="213"/>
        <v/>
      </c>
      <c r="HY46" s="517" t="str">
        <f t="shared" si="214"/>
        <v/>
      </c>
      <c r="HZ46" s="517" t="str">
        <f t="shared" si="215"/>
        <v/>
      </c>
      <c r="IA46" s="517" t="str">
        <f t="shared" si="216"/>
        <v/>
      </c>
      <c r="IB46" s="517" t="str">
        <f t="shared" si="217"/>
        <v/>
      </c>
      <c r="IC46" s="517" t="str">
        <f t="shared" si="218"/>
        <v/>
      </c>
      <c r="ID46" s="518" t="str">
        <f t="shared" si="219"/>
        <v/>
      </c>
      <c r="IE46" s="518" t="str">
        <f t="shared" si="220"/>
        <v/>
      </c>
      <c r="IF46" s="518" t="str">
        <f t="shared" si="221"/>
        <v/>
      </c>
      <c r="IG46" s="518" t="str">
        <f t="shared" si="222"/>
        <v/>
      </c>
      <c r="IH46" s="518" t="str">
        <f t="shared" si="223"/>
        <v/>
      </c>
      <c r="II46" s="507" t="str">
        <f t="shared" si="224"/>
        <v/>
      </c>
      <c r="IJ46" s="507" t="str">
        <f t="shared" si="225"/>
        <v/>
      </c>
      <c r="IK46" s="507" t="str">
        <f t="shared" si="226"/>
        <v/>
      </c>
      <c r="IL46" s="507" t="str">
        <f t="shared" si="227"/>
        <v/>
      </c>
      <c r="IM46" s="507" t="str">
        <f t="shared" si="228"/>
        <v/>
      </c>
      <c r="IN46" s="507" t="str">
        <f t="shared" si="229"/>
        <v/>
      </c>
      <c r="IO46" s="507" t="str">
        <f t="shared" si="230"/>
        <v/>
      </c>
      <c r="IP46" s="507" t="str">
        <f t="shared" si="231"/>
        <v/>
      </c>
      <c r="IQ46" s="507" t="str">
        <f t="shared" si="232"/>
        <v/>
      </c>
      <c r="IR46" s="507" t="str">
        <f t="shared" si="233"/>
        <v/>
      </c>
      <c r="IS46" s="507" t="str">
        <f t="shared" si="234"/>
        <v/>
      </c>
      <c r="IT46" s="507" t="str">
        <f t="shared" si="235"/>
        <v/>
      </c>
      <c r="IU46" s="507" t="str">
        <f t="shared" si="236"/>
        <v/>
      </c>
      <c r="IV46" s="507" t="str">
        <f t="shared" si="237"/>
        <v/>
      </c>
      <c r="IW46" s="507" t="str">
        <f t="shared" si="238"/>
        <v/>
      </c>
      <c r="IX46" s="507" t="str">
        <f t="shared" si="239"/>
        <v/>
      </c>
      <c r="IY46" s="507" t="str">
        <f t="shared" si="240"/>
        <v/>
      </c>
      <c r="IZ46" s="507" t="str">
        <f t="shared" si="241"/>
        <v/>
      </c>
      <c r="JA46" s="507" t="str">
        <f t="shared" si="242"/>
        <v/>
      </c>
      <c r="JB46" s="507" t="str">
        <f t="shared" si="243"/>
        <v/>
      </c>
      <c r="JC46" s="516">
        <f t="shared" si="244"/>
        <v>0</v>
      </c>
      <c r="JD46" s="516">
        <f t="shared" si="245"/>
        <v>0</v>
      </c>
      <c r="JE46" s="516">
        <f t="shared" si="246"/>
        <v>0</v>
      </c>
      <c r="JF46" s="516">
        <f t="shared" si="247"/>
        <v>0</v>
      </c>
      <c r="JG46" s="516">
        <f t="shared" si="248"/>
        <v>0</v>
      </c>
      <c r="JH46" s="516">
        <f t="shared" si="249"/>
        <v>0</v>
      </c>
      <c r="JI46" s="516">
        <f t="shared" si="250"/>
        <v>0</v>
      </c>
      <c r="JJ46" s="516">
        <f t="shared" si="251"/>
        <v>0</v>
      </c>
      <c r="JK46" s="516">
        <f t="shared" si="252"/>
        <v>0</v>
      </c>
      <c r="JL46" s="516">
        <f t="shared" si="253"/>
        <v>0</v>
      </c>
      <c r="JM46" s="516">
        <f t="shared" si="254"/>
        <v>0</v>
      </c>
      <c r="JN46" s="516">
        <f t="shared" si="255"/>
        <v>0</v>
      </c>
      <c r="JO46" s="516">
        <f t="shared" si="256"/>
        <v>0</v>
      </c>
      <c r="JP46" s="516">
        <f t="shared" si="257"/>
        <v>0</v>
      </c>
      <c r="JQ46" s="516">
        <f t="shared" si="258"/>
        <v>0</v>
      </c>
    </row>
    <row r="47" spans="1:296" ht="12" customHeight="1">
      <c r="A47" s="115" t="str">
        <f t="shared" si="0"/>
        <v/>
      </c>
      <c r="B47" s="2832" t="s">
        <v>1837</v>
      </c>
      <c r="C47" s="2833"/>
      <c r="D47" s="2834"/>
      <c r="E47" s="2835"/>
      <c r="F47" s="2835"/>
      <c r="G47" s="2835"/>
      <c r="H47" s="2835"/>
      <c r="I47" s="2835"/>
      <c r="J47" s="2836"/>
      <c r="K47" s="796">
        <f t="shared" si="1"/>
        <v>0</v>
      </c>
      <c r="L47" s="796">
        <f t="shared" si="2"/>
        <v>0</v>
      </c>
      <c r="M47" s="2837"/>
      <c r="N47" s="2837"/>
      <c r="O47" s="2837"/>
      <c r="P47" s="2838"/>
      <c r="Q47" s="1260" t="str">
        <f t="shared" si="3"/>
        <v/>
      </c>
      <c r="R47" s="1261" t="str">
        <f>IF(H47="","",IF(C47="Efficiency",Q47/($O$6*VLOOKUP(0,'DCA Underwriting Assumptions'!$J$132:$K$137,2,FALSE)),Q47/($O$6*VLOOKUP(C47,'DCA Underwriting Assumptions'!$J$132:$K$137,2,FALSE))))</f>
        <v/>
      </c>
      <c r="S47" s="2839"/>
      <c r="T47" s="2840"/>
      <c r="U47" s="2751"/>
      <c r="V47" s="2749"/>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0" t="str">
        <f t="shared" si="134"/>
        <v/>
      </c>
      <c r="EX47" s="517" t="str">
        <f t="shared" si="135"/>
        <v/>
      </c>
      <c r="EY47" s="517" t="str">
        <f t="shared" si="136"/>
        <v/>
      </c>
      <c r="EZ47" s="517" t="str">
        <f t="shared" si="137"/>
        <v/>
      </c>
      <c r="FA47" s="517" t="str">
        <f t="shared" si="138"/>
        <v/>
      </c>
      <c r="FB47" s="517" t="str">
        <f t="shared" si="139"/>
        <v/>
      </c>
      <c r="FC47" s="517" t="str">
        <f t="shared" si="140"/>
        <v/>
      </c>
      <c r="FD47" s="517" t="str">
        <f t="shared" si="141"/>
        <v/>
      </c>
      <c r="FE47" s="517" t="str">
        <f t="shared" si="142"/>
        <v/>
      </c>
      <c r="FF47" s="517" t="str">
        <f t="shared" si="143"/>
        <v/>
      </c>
      <c r="FG47" s="517" t="str">
        <f t="shared" si="144"/>
        <v/>
      </c>
      <c r="FH47" s="517" t="str">
        <f t="shared" si="145"/>
        <v/>
      </c>
      <c r="FI47" s="517" t="str">
        <f t="shared" si="146"/>
        <v/>
      </c>
      <c r="FJ47" s="517" t="str">
        <f t="shared" si="147"/>
        <v/>
      </c>
      <c r="FK47" s="517" t="str">
        <f t="shared" si="148"/>
        <v/>
      </c>
      <c r="FL47" s="517" t="str">
        <f t="shared" si="149"/>
        <v/>
      </c>
      <c r="FM47" s="517" t="str">
        <f t="shared" si="150"/>
        <v/>
      </c>
      <c r="FN47" s="517" t="str">
        <f t="shared" si="151"/>
        <v/>
      </c>
      <c r="FO47" s="517" t="str">
        <f t="shared" si="152"/>
        <v/>
      </c>
      <c r="FP47" s="517" t="str">
        <f t="shared" si="153"/>
        <v/>
      </c>
      <c r="FQ47" s="517" t="str">
        <f t="shared" si="154"/>
        <v/>
      </c>
      <c r="FR47" s="517" t="str">
        <f t="shared" si="155"/>
        <v/>
      </c>
      <c r="FS47" s="517" t="str">
        <f t="shared" si="156"/>
        <v/>
      </c>
      <c r="FT47" s="517" t="str">
        <f t="shared" si="157"/>
        <v/>
      </c>
      <c r="FU47" s="517" t="str">
        <f t="shared" si="158"/>
        <v/>
      </c>
      <c r="FV47" s="517" t="str">
        <f t="shared" si="159"/>
        <v/>
      </c>
      <c r="FW47" s="517" t="str">
        <f t="shared" si="160"/>
        <v/>
      </c>
      <c r="FX47" s="517" t="str">
        <f t="shared" si="161"/>
        <v/>
      </c>
      <c r="FY47" s="517" t="str">
        <f t="shared" si="162"/>
        <v/>
      </c>
      <c r="FZ47" s="517" t="str">
        <f t="shared" si="163"/>
        <v/>
      </c>
      <c r="GA47" s="517" t="str">
        <f t="shared" si="164"/>
        <v/>
      </c>
      <c r="GB47" s="517" t="str">
        <f t="shared" si="165"/>
        <v/>
      </c>
      <c r="GC47" s="517" t="str">
        <f t="shared" si="166"/>
        <v/>
      </c>
      <c r="GD47" s="517" t="str">
        <f t="shared" si="167"/>
        <v/>
      </c>
      <c r="GE47" s="517" t="str">
        <f t="shared" si="168"/>
        <v/>
      </c>
      <c r="GF47" s="517" t="str">
        <f t="shared" si="169"/>
        <v/>
      </c>
      <c r="GG47" s="517" t="str">
        <f t="shared" si="170"/>
        <v/>
      </c>
      <c r="GH47" s="517" t="str">
        <f t="shared" si="171"/>
        <v/>
      </c>
      <c r="GI47" s="517" t="str">
        <f t="shared" si="172"/>
        <v/>
      </c>
      <c r="GJ47" s="517" t="str">
        <f t="shared" si="173"/>
        <v/>
      </c>
      <c r="GK47" s="517" t="str">
        <f t="shared" si="174"/>
        <v/>
      </c>
      <c r="GL47" s="517" t="str">
        <f t="shared" si="175"/>
        <v/>
      </c>
      <c r="GM47" s="517" t="str">
        <f t="shared" si="176"/>
        <v/>
      </c>
      <c r="GN47" s="517" t="str">
        <f t="shared" si="177"/>
        <v/>
      </c>
      <c r="GO47" s="517" t="str">
        <f t="shared" si="178"/>
        <v/>
      </c>
      <c r="GP47" s="517" t="str">
        <f t="shared" si="179"/>
        <v/>
      </c>
      <c r="GQ47" s="517" t="str">
        <f t="shared" si="180"/>
        <v/>
      </c>
      <c r="GR47" s="517" t="str">
        <f t="shared" si="181"/>
        <v/>
      </c>
      <c r="GS47" s="517" t="str">
        <f t="shared" si="182"/>
        <v/>
      </c>
      <c r="GT47" s="517" t="str">
        <f t="shared" si="183"/>
        <v/>
      </c>
      <c r="GU47" s="517" t="str">
        <f t="shared" si="184"/>
        <v/>
      </c>
      <c r="GV47" s="517" t="str">
        <f t="shared" si="185"/>
        <v/>
      </c>
      <c r="GW47" s="517" t="str">
        <f t="shared" si="186"/>
        <v/>
      </c>
      <c r="GX47" s="517" t="str">
        <f t="shared" si="187"/>
        <v/>
      </c>
      <c r="GY47" s="517" t="str">
        <f t="shared" si="188"/>
        <v/>
      </c>
      <c r="GZ47" s="517" t="str">
        <f t="shared" si="189"/>
        <v/>
      </c>
      <c r="HA47" s="517" t="str">
        <f t="shared" si="190"/>
        <v/>
      </c>
      <c r="HB47" s="517" t="str">
        <f t="shared" si="191"/>
        <v/>
      </c>
      <c r="HC47" s="517" t="str">
        <f t="shared" si="192"/>
        <v/>
      </c>
      <c r="HD47" s="517" t="str">
        <f t="shared" si="193"/>
        <v/>
      </c>
      <c r="HE47" s="517" t="str">
        <f t="shared" si="194"/>
        <v/>
      </c>
      <c r="HF47" s="517" t="str">
        <f t="shared" si="195"/>
        <v/>
      </c>
      <c r="HG47" s="517" t="str">
        <f t="shared" si="196"/>
        <v/>
      </c>
      <c r="HH47" s="517" t="str">
        <f t="shared" si="197"/>
        <v/>
      </c>
      <c r="HI47" s="517" t="str">
        <f t="shared" si="198"/>
        <v/>
      </c>
      <c r="HJ47" s="517" t="str">
        <f t="shared" si="199"/>
        <v/>
      </c>
      <c r="HK47" s="517" t="str">
        <f t="shared" si="200"/>
        <v/>
      </c>
      <c r="HL47" s="517" t="str">
        <f t="shared" si="201"/>
        <v/>
      </c>
      <c r="HM47" s="517" t="str">
        <f t="shared" si="202"/>
        <v/>
      </c>
      <c r="HN47" s="517" t="str">
        <f t="shared" si="203"/>
        <v/>
      </c>
      <c r="HO47" s="517" t="str">
        <f t="shared" si="204"/>
        <v/>
      </c>
      <c r="HP47" s="517" t="str">
        <f t="shared" si="205"/>
        <v/>
      </c>
      <c r="HQ47" s="517" t="str">
        <f t="shared" si="206"/>
        <v/>
      </c>
      <c r="HR47" s="517" t="str">
        <f t="shared" si="207"/>
        <v/>
      </c>
      <c r="HS47" s="517" t="str">
        <f t="shared" si="208"/>
        <v/>
      </c>
      <c r="HT47" s="517" t="str">
        <f t="shared" si="209"/>
        <v/>
      </c>
      <c r="HU47" s="517" t="str">
        <f t="shared" si="210"/>
        <v/>
      </c>
      <c r="HV47" s="517" t="str">
        <f t="shared" si="211"/>
        <v/>
      </c>
      <c r="HW47" s="517" t="str">
        <f t="shared" si="212"/>
        <v/>
      </c>
      <c r="HX47" s="517" t="str">
        <f t="shared" si="213"/>
        <v/>
      </c>
      <c r="HY47" s="517" t="str">
        <f t="shared" si="214"/>
        <v/>
      </c>
      <c r="HZ47" s="517" t="str">
        <f t="shared" si="215"/>
        <v/>
      </c>
      <c r="IA47" s="517" t="str">
        <f t="shared" si="216"/>
        <v/>
      </c>
      <c r="IB47" s="517" t="str">
        <f t="shared" si="217"/>
        <v/>
      </c>
      <c r="IC47" s="517" t="str">
        <f t="shared" si="218"/>
        <v/>
      </c>
      <c r="ID47" s="518" t="str">
        <f t="shared" si="219"/>
        <v/>
      </c>
      <c r="IE47" s="518" t="str">
        <f t="shared" si="220"/>
        <v/>
      </c>
      <c r="IF47" s="518" t="str">
        <f t="shared" si="221"/>
        <v/>
      </c>
      <c r="IG47" s="518" t="str">
        <f t="shared" si="222"/>
        <v/>
      </c>
      <c r="IH47" s="518" t="str">
        <f t="shared" si="223"/>
        <v/>
      </c>
      <c r="II47" s="507" t="str">
        <f t="shared" si="224"/>
        <v/>
      </c>
      <c r="IJ47" s="507" t="str">
        <f t="shared" si="225"/>
        <v/>
      </c>
      <c r="IK47" s="507" t="str">
        <f t="shared" si="226"/>
        <v/>
      </c>
      <c r="IL47" s="507" t="str">
        <f t="shared" si="227"/>
        <v/>
      </c>
      <c r="IM47" s="507" t="str">
        <f t="shared" si="228"/>
        <v/>
      </c>
      <c r="IN47" s="507" t="str">
        <f t="shared" si="229"/>
        <v/>
      </c>
      <c r="IO47" s="507" t="str">
        <f t="shared" si="230"/>
        <v/>
      </c>
      <c r="IP47" s="507" t="str">
        <f t="shared" si="231"/>
        <v/>
      </c>
      <c r="IQ47" s="507" t="str">
        <f t="shared" si="232"/>
        <v/>
      </c>
      <c r="IR47" s="507" t="str">
        <f t="shared" si="233"/>
        <v/>
      </c>
      <c r="IS47" s="507" t="str">
        <f t="shared" si="234"/>
        <v/>
      </c>
      <c r="IT47" s="507" t="str">
        <f t="shared" si="235"/>
        <v/>
      </c>
      <c r="IU47" s="507" t="str">
        <f t="shared" si="236"/>
        <v/>
      </c>
      <c r="IV47" s="507" t="str">
        <f t="shared" si="237"/>
        <v/>
      </c>
      <c r="IW47" s="507" t="str">
        <f t="shared" si="238"/>
        <v/>
      </c>
      <c r="IX47" s="507" t="str">
        <f t="shared" si="239"/>
        <v/>
      </c>
      <c r="IY47" s="507" t="str">
        <f t="shared" si="240"/>
        <v/>
      </c>
      <c r="IZ47" s="507" t="str">
        <f t="shared" si="241"/>
        <v/>
      </c>
      <c r="JA47" s="507" t="str">
        <f t="shared" si="242"/>
        <v/>
      </c>
      <c r="JB47" s="507" t="str">
        <f t="shared" si="243"/>
        <v/>
      </c>
      <c r="JC47" s="516">
        <f t="shared" si="244"/>
        <v>0</v>
      </c>
      <c r="JD47" s="516">
        <f t="shared" si="245"/>
        <v>0</v>
      </c>
      <c r="JE47" s="516">
        <f t="shared" si="246"/>
        <v>0</v>
      </c>
      <c r="JF47" s="516">
        <f t="shared" si="247"/>
        <v>0</v>
      </c>
      <c r="JG47" s="516">
        <f t="shared" si="248"/>
        <v>0</v>
      </c>
      <c r="JH47" s="516">
        <f t="shared" si="249"/>
        <v>0</v>
      </c>
      <c r="JI47" s="516">
        <f t="shared" si="250"/>
        <v>0</v>
      </c>
      <c r="JJ47" s="516">
        <f t="shared" si="251"/>
        <v>0</v>
      </c>
      <c r="JK47" s="516">
        <f t="shared" si="252"/>
        <v>0</v>
      </c>
      <c r="JL47" s="516">
        <f t="shared" si="253"/>
        <v>0</v>
      </c>
      <c r="JM47" s="516">
        <f t="shared" si="254"/>
        <v>0</v>
      </c>
      <c r="JN47" s="516">
        <f t="shared" si="255"/>
        <v>0</v>
      </c>
      <c r="JO47" s="516">
        <f t="shared" si="256"/>
        <v>0</v>
      </c>
      <c r="JP47" s="516">
        <f t="shared" si="257"/>
        <v>0</v>
      </c>
      <c r="JQ47" s="516">
        <f t="shared" si="258"/>
        <v>0</v>
      </c>
    </row>
    <row r="48" spans="1:296" s="158" customFormat="1" ht="12" customHeight="1">
      <c r="A48" s="1190">
        <f>COUNT(A10,A11,A12,A13,A14,A15,A16,A17,A18,A19,A20,A21,A22,A23,A24,A25,A26,A27,A28,A29,A30,A31,A32,A33,A34,A35,A36,A37,A38,A39)</f>
        <v>0</v>
      </c>
      <c r="B48" s="755"/>
      <c r="C48" s="100"/>
      <c r="D48" s="149" t="s">
        <v>1055</v>
      </c>
      <c r="E48" s="134">
        <f>SUM(E10:E47)</f>
        <v>208</v>
      </c>
      <c r="F48" s="1306">
        <f>(E10*F10+E11*F11+E12*F12+E13*F13+E14*F14+E15*F15+E16*F16+E17*F17+E18*F18+E19*F19+E20*F20+E21*F21+E22*F22+E23*F23+E24*F24+E25*F25+E26*F26+E27*F27+E28*F28+E29*F29+E30*F30+E31*F31+E32*F32+E33*F33+E34*F34+E35*F35+E36*F36+E37*F37+E38*F38+E39*F39+E40*F40+E41*F41+E42*F42+E43*F43+E44*F44+E45*F45+E46*F46+E47*F47)</f>
        <v>111354</v>
      </c>
      <c r="G48" s="756"/>
      <c r="H48" s="757"/>
      <c r="I48" s="757"/>
      <c r="J48" s="757"/>
      <c r="K48" s="1309" t="s">
        <v>1351</v>
      </c>
      <c r="L48" s="133">
        <f>SUM(L10:L47)</f>
        <v>207625</v>
      </c>
      <c r="M48" s="100"/>
      <c r="N48" s="758"/>
      <c r="O48" s="100"/>
      <c r="P48" s="533"/>
      <c r="Q48" s="533"/>
      <c r="R48" s="533"/>
      <c r="S48" s="533"/>
      <c r="T48" s="533"/>
      <c r="U48" s="1219"/>
      <c r="V48" s="759"/>
      <c r="W48" s="760">
        <f t="shared" ref="W48:CH48" si="259">SUM(W10:W47)</f>
        <v>3</v>
      </c>
      <c r="X48" s="760">
        <f t="shared" si="259"/>
        <v>205</v>
      </c>
      <c r="Y48" s="760">
        <f t="shared" si="259"/>
        <v>0</v>
      </c>
      <c r="Z48" s="760">
        <f t="shared" si="259"/>
        <v>0</v>
      </c>
      <c r="AA48" s="760">
        <f t="shared" si="259"/>
        <v>0</v>
      </c>
      <c r="AB48" s="760">
        <f t="shared" si="259"/>
        <v>0</v>
      </c>
      <c r="AC48" s="760">
        <f t="shared" si="259"/>
        <v>0</v>
      </c>
      <c r="AD48" s="760">
        <f t="shared" si="259"/>
        <v>0</v>
      </c>
      <c r="AE48" s="760">
        <f t="shared" si="259"/>
        <v>0</v>
      </c>
      <c r="AF48" s="760">
        <f t="shared" si="259"/>
        <v>0</v>
      </c>
      <c r="AG48" s="760">
        <f t="shared" si="259"/>
        <v>0</v>
      </c>
      <c r="AH48" s="760">
        <f t="shared" si="259"/>
        <v>0</v>
      </c>
      <c r="AI48" s="760">
        <f t="shared" si="259"/>
        <v>0</v>
      </c>
      <c r="AJ48" s="760">
        <f t="shared" si="259"/>
        <v>0</v>
      </c>
      <c r="AK48" s="760">
        <f t="shared" si="259"/>
        <v>0</v>
      </c>
      <c r="AL48" s="760">
        <f t="shared" si="259"/>
        <v>0</v>
      </c>
      <c r="AM48" s="760">
        <f t="shared" si="259"/>
        <v>0</v>
      </c>
      <c r="AN48" s="760">
        <f t="shared" si="259"/>
        <v>0</v>
      </c>
      <c r="AO48" s="760">
        <f t="shared" si="259"/>
        <v>0</v>
      </c>
      <c r="AP48" s="760">
        <f t="shared" si="259"/>
        <v>0</v>
      </c>
      <c r="AQ48" s="760">
        <f t="shared" si="259"/>
        <v>0</v>
      </c>
      <c r="AR48" s="760">
        <f t="shared" si="259"/>
        <v>0</v>
      </c>
      <c r="AS48" s="760">
        <f t="shared" si="259"/>
        <v>0</v>
      </c>
      <c r="AT48" s="760">
        <f t="shared" si="259"/>
        <v>0</v>
      </c>
      <c r="AU48" s="760">
        <f t="shared" si="259"/>
        <v>0</v>
      </c>
      <c r="AV48" s="760">
        <f t="shared" si="259"/>
        <v>0</v>
      </c>
      <c r="AW48" s="760">
        <f t="shared" si="259"/>
        <v>0</v>
      </c>
      <c r="AX48" s="760">
        <f t="shared" si="259"/>
        <v>0</v>
      </c>
      <c r="AY48" s="760">
        <f t="shared" si="259"/>
        <v>0</v>
      </c>
      <c r="AZ48" s="760">
        <f t="shared" si="259"/>
        <v>0</v>
      </c>
      <c r="BA48" s="760">
        <f t="shared" si="259"/>
        <v>3</v>
      </c>
      <c r="BB48" s="760">
        <f t="shared" si="259"/>
        <v>205</v>
      </c>
      <c r="BC48" s="760">
        <f t="shared" si="259"/>
        <v>0</v>
      </c>
      <c r="BD48" s="760">
        <f t="shared" si="259"/>
        <v>0</v>
      </c>
      <c r="BE48" s="760">
        <f t="shared" si="259"/>
        <v>0</v>
      </c>
      <c r="BF48" s="760">
        <f t="shared" si="259"/>
        <v>0</v>
      </c>
      <c r="BG48" s="760">
        <f t="shared" si="259"/>
        <v>0</v>
      </c>
      <c r="BH48" s="760">
        <f t="shared" si="259"/>
        <v>0</v>
      </c>
      <c r="BI48" s="760">
        <f t="shared" si="259"/>
        <v>0</v>
      </c>
      <c r="BJ48" s="760">
        <f t="shared" si="259"/>
        <v>0</v>
      </c>
      <c r="BK48" s="760">
        <f t="shared" si="259"/>
        <v>0</v>
      </c>
      <c r="BL48" s="760">
        <f t="shared" si="259"/>
        <v>0</v>
      </c>
      <c r="BM48" s="760">
        <f t="shared" si="259"/>
        <v>0</v>
      </c>
      <c r="BN48" s="760">
        <f t="shared" si="259"/>
        <v>0</v>
      </c>
      <c r="BO48" s="760">
        <f t="shared" si="259"/>
        <v>0</v>
      </c>
      <c r="BP48" s="760">
        <f t="shared" si="259"/>
        <v>0</v>
      </c>
      <c r="BQ48" s="760">
        <f t="shared" si="259"/>
        <v>0</v>
      </c>
      <c r="BR48" s="760">
        <f t="shared" si="259"/>
        <v>0</v>
      </c>
      <c r="BS48" s="760">
        <f t="shared" si="259"/>
        <v>0</v>
      </c>
      <c r="BT48" s="760">
        <f t="shared" si="259"/>
        <v>0</v>
      </c>
      <c r="BU48" s="760">
        <f t="shared" si="259"/>
        <v>0</v>
      </c>
      <c r="BV48" s="760">
        <f t="shared" si="259"/>
        <v>0</v>
      </c>
      <c r="BW48" s="760">
        <f t="shared" si="259"/>
        <v>0</v>
      </c>
      <c r="BX48" s="760">
        <f t="shared" si="259"/>
        <v>0</v>
      </c>
      <c r="BY48" s="760">
        <f t="shared" si="259"/>
        <v>0</v>
      </c>
      <c r="BZ48" s="760">
        <f t="shared" si="259"/>
        <v>1245</v>
      </c>
      <c r="CA48" s="760">
        <f t="shared" si="259"/>
        <v>110109</v>
      </c>
      <c r="CB48" s="760">
        <f t="shared" si="259"/>
        <v>0</v>
      </c>
      <c r="CC48" s="760">
        <f t="shared" si="259"/>
        <v>0</v>
      </c>
      <c r="CD48" s="760">
        <f t="shared" si="259"/>
        <v>0</v>
      </c>
      <c r="CE48" s="760">
        <f t="shared" si="259"/>
        <v>0</v>
      </c>
      <c r="CF48" s="760">
        <f t="shared" si="259"/>
        <v>0</v>
      </c>
      <c r="CG48" s="760">
        <f t="shared" si="259"/>
        <v>0</v>
      </c>
      <c r="CH48" s="760">
        <f t="shared" si="259"/>
        <v>0</v>
      </c>
      <c r="CI48" s="760">
        <f t="shared" ref="CI48:ET48" si="260">SUM(CI10:CI47)</f>
        <v>0</v>
      </c>
      <c r="CJ48" s="760">
        <f t="shared" si="260"/>
        <v>0</v>
      </c>
      <c r="CK48" s="760">
        <f t="shared" si="260"/>
        <v>0</v>
      </c>
      <c r="CL48" s="760">
        <f t="shared" si="260"/>
        <v>0</v>
      </c>
      <c r="CM48" s="760">
        <f t="shared" si="260"/>
        <v>0</v>
      </c>
      <c r="CN48" s="760">
        <f t="shared" si="260"/>
        <v>0</v>
      </c>
      <c r="CO48" s="760">
        <f t="shared" si="260"/>
        <v>0</v>
      </c>
      <c r="CP48" s="760">
        <f t="shared" si="260"/>
        <v>0</v>
      </c>
      <c r="CQ48" s="760">
        <f t="shared" si="260"/>
        <v>0</v>
      </c>
      <c r="CR48" s="760">
        <f t="shared" si="260"/>
        <v>0</v>
      </c>
      <c r="CS48" s="760">
        <f t="shared" si="260"/>
        <v>0</v>
      </c>
      <c r="CT48" s="760">
        <f t="shared" si="260"/>
        <v>1245</v>
      </c>
      <c r="CU48" s="760">
        <f t="shared" si="260"/>
        <v>110109</v>
      </c>
      <c r="CV48" s="760">
        <f t="shared" si="260"/>
        <v>0</v>
      </c>
      <c r="CW48" s="760">
        <f t="shared" si="260"/>
        <v>0</v>
      </c>
      <c r="CX48" s="760">
        <f t="shared" si="260"/>
        <v>0</v>
      </c>
      <c r="CY48" s="760">
        <f t="shared" si="260"/>
        <v>0</v>
      </c>
      <c r="CZ48" s="760">
        <f t="shared" si="260"/>
        <v>0</v>
      </c>
      <c r="DA48" s="760">
        <f t="shared" si="260"/>
        <v>0</v>
      </c>
      <c r="DB48" s="760">
        <f t="shared" si="260"/>
        <v>0</v>
      </c>
      <c r="DC48" s="760">
        <f t="shared" si="260"/>
        <v>0</v>
      </c>
      <c r="DD48" s="760">
        <f t="shared" si="260"/>
        <v>0</v>
      </c>
      <c r="DE48" s="760">
        <f t="shared" si="260"/>
        <v>0</v>
      </c>
      <c r="DF48" s="760">
        <f t="shared" si="260"/>
        <v>0</v>
      </c>
      <c r="DG48" s="760">
        <f t="shared" si="260"/>
        <v>0</v>
      </c>
      <c r="DH48" s="760">
        <f t="shared" si="260"/>
        <v>0</v>
      </c>
      <c r="DI48" s="760">
        <f t="shared" si="260"/>
        <v>0</v>
      </c>
      <c r="DJ48" s="760">
        <f t="shared" si="260"/>
        <v>0</v>
      </c>
      <c r="DK48" s="760">
        <f t="shared" si="260"/>
        <v>0</v>
      </c>
      <c r="DL48" s="760">
        <f t="shared" si="260"/>
        <v>0</v>
      </c>
      <c r="DM48" s="760">
        <f t="shared" si="260"/>
        <v>0</v>
      </c>
      <c r="DN48" s="760">
        <f t="shared" si="260"/>
        <v>0</v>
      </c>
      <c r="DO48" s="760">
        <f t="shared" si="260"/>
        <v>0</v>
      </c>
      <c r="DP48" s="760">
        <f t="shared" si="260"/>
        <v>0</v>
      </c>
      <c r="DQ48" s="760">
        <f t="shared" si="260"/>
        <v>0</v>
      </c>
      <c r="DR48" s="760">
        <f t="shared" si="260"/>
        <v>0</v>
      </c>
      <c r="DS48" s="760">
        <f t="shared" si="260"/>
        <v>3</v>
      </c>
      <c r="DT48" s="760">
        <f t="shared" si="260"/>
        <v>205</v>
      </c>
      <c r="DU48" s="760">
        <f t="shared" si="260"/>
        <v>0</v>
      </c>
      <c r="DV48" s="760">
        <f t="shared" si="260"/>
        <v>0</v>
      </c>
      <c r="DW48" s="760">
        <f t="shared" si="260"/>
        <v>0</v>
      </c>
      <c r="DX48" s="760">
        <f t="shared" si="260"/>
        <v>0</v>
      </c>
      <c r="DY48" s="760">
        <f t="shared" si="260"/>
        <v>0</v>
      </c>
      <c r="DZ48" s="760">
        <f t="shared" si="260"/>
        <v>0</v>
      </c>
      <c r="EA48" s="760">
        <f t="shared" si="260"/>
        <v>0</v>
      </c>
      <c r="EB48" s="760">
        <f t="shared" si="260"/>
        <v>0</v>
      </c>
      <c r="EC48" s="760">
        <f t="shared" si="260"/>
        <v>0</v>
      </c>
      <c r="ED48" s="760">
        <f t="shared" si="260"/>
        <v>0</v>
      </c>
      <c r="EE48" s="760">
        <f t="shared" si="260"/>
        <v>0</v>
      </c>
      <c r="EF48" s="760">
        <f t="shared" si="260"/>
        <v>0</v>
      </c>
      <c r="EG48" s="760">
        <f t="shared" si="260"/>
        <v>0</v>
      </c>
      <c r="EH48" s="760">
        <f t="shared" si="260"/>
        <v>0</v>
      </c>
      <c r="EI48" s="760">
        <f t="shared" si="260"/>
        <v>0</v>
      </c>
      <c r="EJ48" s="760">
        <f t="shared" si="260"/>
        <v>0</v>
      </c>
      <c r="EK48" s="760">
        <f t="shared" si="260"/>
        <v>0</v>
      </c>
      <c r="EL48" s="760">
        <f t="shared" si="260"/>
        <v>0</v>
      </c>
      <c r="EM48" s="760">
        <f t="shared" si="260"/>
        <v>0</v>
      </c>
      <c r="EN48" s="760">
        <f t="shared" si="260"/>
        <v>0</v>
      </c>
      <c r="EO48" s="760">
        <f t="shared" si="260"/>
        <v>0</v>
      </c>
      <c r="EP48" s="760">
        <f t="shared" si="260"/>
        <v>0</v>
      </c>
      <c r="EQ48" s="760">
        <f t="shared" si="260"/>
        <v>0</v>
      </c>
      <c r="ER48" s="760">
        <f t="shared" si="260"/>
        <v>0</v>
      </c>
      <c r="ES48" s="760">
        <f t="shared" si="260"/>
        <v>0</v>
      </c>
      <c r="ET48" s="760">
        <f t="shared" si="260"/>
        <v>0</v>
      </c>
      <c r="EU48" s="760">
        <f t="shared" ref="EU48:HF48" si="261">SUM(EU10:EU47)</f>
        <v>0</v>
      </c>
      <c r="EV48" s="760">
        <f t="shared" si="261"/>
        <v>0</v>
      </c>
      <c r="EW48" s="760">
        <f t="shared" si="261"/>
        <v>3</v>
      </c>
      <c r="EX48" s="519">
        <f t="shared" si="261"/>
        <v>205</v>
      </c>
      <c r="EY48" s="519">
        <f t="shared" si="261"/>
        <v>0</v>
      </c>
      <c r="EZ48" s="519">
        <f t="shared" si="261"/>
        <v>0</v>
      </c>
      <c r="FA48" s="519">
        <f t="shared" si="261"/>
        <v>0</v>
      </c>
      <c r="FB48" s="519">
        <f t="shared" si="261"/>
        <v>0</v>
      </c>
      <c r="FC48" s="519">
        <f t="shared" si="261"/>
        <v>0</v>
      </c>
      <c r="FD48" s="519">
        <f t="shared" si="261"/>
        <v>0</v>
      </c>
      <c r="FE48" s="519">
        <f t="shared" si="261"/>
        <v>0</v>
      </c>
      <c r="FF48" s="519">
        <f t="shared" si="261"/>
        <v>0</v>
      </c>
      <c r="FG48" s="519">
        <f t="shared" si="261"/>
        <v>0</v>
      </c>
      <c r="FH48" s="519">
        <f t="shared" si="261"/>
        <v>0</v>
      </c>
      <c r="FI48" s="519">
        <f t="shared" si="261"/>
        <v>0</v>
      </c>
      <c r="FJ48" s="519">
        <f t="shared" si="261"/>
        <v>0</v>
      </c>
      <c r="FK48" s="519">
        <f t="shared" si="261"/>
        <v>0</v>
      </c>
      <c r="FL48" s="519">
        <f t="shared" si="261"/>
        <v>0</v>
      </c>
      <c r="FM48" s="519">
        <f t="shared" si="261"/>
        <v>0</v>
      </c>
      <c r="FN48" s="519">
        <f t="shared" si="261"/>
        <v>0</v>
      </c>
      <c r="FO48" s="519">
        <f t="shared" si="261"/>
        <v>0</v>
      </c>
      <c r="FP48" s="519">
        <f t="shared" si="261"/>
        <v>0</v>
      </c>
      <c r="FQ48" s="519">
        <f t="shared" si="261"/>
        <v>0</v>
      </c>
      <c r="FR48" s="519">
        <f t="shared" si="261"/>
        <v>0</v>
      </c>
      <c r="FS48" s="519">
        <f t="shared" si="261"/>
        <v>0</v>
      </c>
      <c r="FT48" s="519">
        <f t="shared" si="261"/>
        <v>0</v>
      </c>
      <c r="FU48" s="519">
        <f t="shared" si="261"/>
        <v>0</v>
      </c>
      <c r="FV48" s="519">
        <f t="shared" si="261"/>
        <v>0</v>
      </c>
      <c r="FW48" s="519">
        <f t="shared" si="261"/>
        <v>0</v>
      </c>
      <c r="FX48" s="519">
        <f t="shared" si="261"/>
        <v>0</v>
      </c>
      <c r="FY48" s="519">
        <f t="shared" si="261"/>
        <v>0</v>
      </c>
      <c r="FZ48" s="519">
        <f t="shared" si="261"/>
        <v>0</v>
      </c>
      <c r="GA48" s="519">
        <f t="shared" si="261"/>
        <v>0</v>
      </c>
      <c r="GB48" s="519">
        <f t="shared" si="261"/>
        <v>0</v>
      </c>
      <c r="GC48" s="519">
        <f t="shared" si="261"/>
        <v>0</v>
      </c>
      <c r="GD48" s="519">
        <f t="shared" si="261"/>
        <v>0</v>
      </c>
      <c r="GE48" s="519">
        <f t="shared" si="261"/>
        <v>0</v>
      </c>
      <c r="GF48" s="519">
        <f t="shared" si="261"/>
        <v>0</v>
      </c>
      <c r="GG48" s="519">
        <f t="shared" si="261"/>
        <v>0</v>
      </c>
      <c r="GH48" s="519">
        <f t="shared" si="261"/>
        <v>0</v>
      </c>
      <c r="GI48" s="519">
        <f t="shared" si="261"/>
        <v>0</v>
      </c>
      <c r="GJ48" s="519">
        <f t="shared" si="261"/>
        <v>0</v>
      </c>
      <c r="GK48" s="519">
        <f t="shared" si="261"/>
        <v>0</v>
      </c>
      <c r="GL48" s="519">
        <f t="shared" si="261"/>
        <v>0</v>
      </c>
      <c r="GM48" s="519">
        <f t="shared" si="261"/>
        <v>0</v>
      </c>
      <c r="GN48" s="519">
        <f t="shared" si="261"/>
        <v>0</v>
      </c>
      <c r="GO48" s="519">
        <f t="shared" si="261"/>
        <v>0</v>
      </c>
      <c r="GP48" s="519">
        <f t="shared" si="261"/>
        <v>0</v>
      </c>
      <c r="GQ48" s="519">
        <f t="shared" si="261"/>
        <v>0</v>
      </c>
      <c r="GR48" s="519">
        <f t="shared" si="261"/>
        <v>0</v>
      </c>
      <c r="GS48" s="519">
        <f t="shared" si="261"/>
        <v>0</v>
      </c>
      <c r="GT48" s="519">
        <f t="shared" si="261"/>
        <v>0</v>
      </c>
      <c r="GU48" s="519">
        <f t="shared" si="261"/>
        <v>0</v>
      </c>
      <c r="GV48" s="519">
        <f t="shared" si="261"/>
        <v>0</v>
      </c>
      <c r="GW48" s="519">
        <f t="shared" si="261"/>
        <v>0</v>
      </c>
      <c r="GX48" s="519">
        <f t="shared" si="261"/>
        <v>0</v>
      </c>
      <c r="GY48" s="519">
        <f t="shared" si="261"/>
        <v>0</v>
      </c>
      <c r="GZ48" s="519">
        <f t="shared" si="261"/>
        <v>0</v>
      </c>
      <c r="HA48" s="519">
        <f t="shared" si="261"/>
        <v>0</v>
      </c>
      <c r="HB48" s="519">
        <f t="shared" si="261"/>
        <v>0</v>
      </c>
      <c r="HC48" s="519">
        <f t="shared" si="261"/>
        <v>0</v>
      </c>
      <c r="HD48" s="519">
        <f t="shared" si="261"/>
        <v>0</v>
      </c>
      <c r="HE48" s="519">
        <f t="shared" si="261"/>
        <v>0</v>
      </c>
      <c r="HF48" s="519">
        <f t="shared" si="261"/>
        <v>0</v>
      </c>
      <c r="HG48" s="519">
        <f t="shared" ref="HG48:JR48" si="262">SUM(HG10:HG47)</f>
        <v>0</v>
      </c>
      <c r="HH48" s="519">
        <f t="shared" si="262"/>
        <v>0</v>
      </c>
      <c r="HI48" s="519">
        <f t="shared" si="262"/>
        <v>0</v>
      </c>
      <c r="HJ48" s="519">
        <f t="shared" si="262"/>
        <v>0</v>
      </c>
      <c r="HK48" s="519">
        <f t="shared" si="262"/>
        <v>0</v>
      </c>
      <c r="HL48" s="519">
        <f t="shared" si="262"/>
        <v>0</v>
      </c>
      <c r="HM48" s="519">
        <f t="shared" si="262"/>
        <v>0</v>
      </c>
      <c r="HN48" s="519">
        <f t="shared" si="262"/>
        <v>0</v>
      </c>
      <c r="HO48" s="519">
        <f t="shared" si="262"/>
        <v>0</v>
      </c>
      <c r="HP48" s="519">
        <f t="shared" si="262"/>
        <v>0</v>
      </c>
      <c r="HQ48" s="519">
        <f t="shared" si="262"/>
        <v>0</v>
      </c>
      <c r="HR48" s="519">
        <f t="shared" si="262"/>
        <v>0</v>
      </c>
      <c r="HS48" s="519">
        <f t="shared" si="262"/>
        <v>0</v>
      </c>
      <c r="HT48" s="519">
        <f t="shared" si="262"/>
        <v>3</v>
      </c>
      <c r="HU48" s="519">
        <f t="shared" si="262"/>
        <v>205</v>
      </c>
      <c r="HV48" s="519">
        <f t="shared" si="262"/>
        <v>0</v>
      </c>
      <c r="HW48" s="519">
        <f t="shared" si="262"/>
        <v>0</v>
      </c>
      <c r="HX48" s="519">
        <f t="shared" si="262"/>
        <v>0</v>
      </c>
      <c r="HY48" s="519">
        <f t="shared" si="262"/>
        <v>0</v>
      </c>
      <c r="HZ48" s="519">
        <f t="shared" si="262"/>
        <v>0</v>
      </c>
      <c r="IA48" s="519">
        <f t="shared" si="262"/>
        <v>0</v>
      </c>
      <c r="IB48" s="519">
        <f t="shared" si="262"/>
        <v>0</v>
      </c>
      <c r="IC48" s="519">
        <f t="shared" si="262"/>
        <v>0</v>
      </c>
      <c r="ID48" s="519">
        <f t="shared" si="262"/>
        <v>0</v>
      </c>
      <c r="IE48" s="519">
        <f t="shared" si="262"/>
        <v>0</v>
      </c>
      <c r="IF48" s="519">
        <f t="shared" si="262"/>
        <v>0</v>
      </c>
      <c r="IG48" s="519">
        <f t="shared" si="262"/>
        <v>0</v>
      </c>
      <c r="IH48" s="519">
        <f t="shared" si="262"/>
        <v>0</v>
      </c>
      <c r="II48" s="519">
        <f t="shared" si="262"/>
        <v>0</v>
      </c>
      <c r="IJ48" s="519">
        <f t="shared" si="262"/>
        <v>0</v>
      </c>
      <c r="IK48" s="519">
        <f t="shared" si="262"/>
        <v>0</v>
      </c>
      <c r="IL48" s="519">
        <f t="shared" si="262"/>
        <v>0</v>
      </c>
      <c r="IM48" s="519">
        <f t="shared" si="262"/>
        <v>0</v>
      </c>
      <c r="IN48" s="519">
        <f t="shared" si="262"/>
        <v>0</v>
      </c>
      <c r="IO48" s="519">
        <f t="shared" si="262"/>
        <v>0</v>
      </c>
      <c r="IP48" s="519">
        <f t="shared" si="262"/>
        <v>0</v>
      </c>
      <c r="IQ48" s="519">
        <f t="shared" si="262"/>
        <v>0</v>
      </c>
      <c r="IR48" s="519">
        <f t="shared" si="262"/>
        <v>0</v>
      </c>
      <c r="IS48" s="519">
        <f t="shared" si="262"/>
        <v>0</v>
      </c>
      <c r="IT48" s="519">
        <f t="shared" si="262"/>
        <v>0</v>
      </c>
      <c r="IU48" s="519">
        <f t="shared" si="262"/>
        <v>0</v>
      </c>
      <c r="IV48" s="519">
        <f t="shared" si="262"/>
        <v>0</v>
      </c>
      <c r="IW48" s="519">
        <f t="shared" si="262"/>
        <v>0</v>
      </c>
      <c r="IX48" s="519">
        <f t="shared" si="262"/>
        <v>0</v>
      </c>
      <c r="IY48" s="519">
        <f t="shared" si="262"/>
        <v>0</v>
      </c>
      <c r="IZ48" s="519">
        <f t="shared" si="262"/>
        <v>0</v>
      </c>
      <c r="JA48" s="519">
        <f t="shared" si="262"/>
        <v>0</v>
      </c>
      <c r="JB48" s="519">
        <f t="shared" si="262"/>
        <v>0</v>
      </c>
      <c r="JC48" s="519">
        <f t="shared" si="262"/>
        <v>3</v>
      </c>
      <c r="JD48" s="519">
        <f t="shared" si="262"/>
        <v>205</v>
      </c>
      <c r="JE48" s="519">
        <f t="shared" si="262"/>
        <v>0</v>
      </c>
      <c r="JF48" s="519">
        <f t="shared" si="262"/>
        <v>0</v>
      </c>
      <c r="JG48" s="519">
        <f t="shared" si="262"/>
        <v>0</v>
      </c>
      <c r="JH48" s="519">
        <f t="shared" si="262"/>
        <v>0</v>
      </c>
      <c r="JI48" s="519">
        <f t="shared" si="262"/>
        <v>0</v>
      </c>
      <c r="JJ48" s="519">
        <f t="shared" si="262"/>
        <v>0</v>
      </c>
      <c r="JK48" s="519">
        <f t="shared" si="262"/>
        <v>0</v>
      </c>
      <c r="JL48" s="519">
        <f t="shared" si="262"/>
        <v>0</v>
      </c>
      <c r="JM48" s="519">
        <f t="shared" si="262"/>
        <v>0</v>
      </c>
      <c r="JN48" s="519">
        <f t="shared" si="262"/>
        <v>0</v>
      </c>
      <c r="JO48" s="519">
        <f t="shared" si="262"/>
        <v>0</v>
      </c>
      <c r="JP48" s="519">
        <f t="shared" si="262"/>
        <v>0</v>
      </c>
      <c r="JQ48" s="519">
        <f t="shared" si="262"/>
        <v>0</v>
      </c>
      <c r="JR48" s="760">
        <f t="shared" si="262"/>
        <v>0</v>
      </c>
      <c r="JT48" s="507"/>
      <c r="JU48" s="507"/>
      <c r="JV48" s="507"/>
      <c r="JW48" s="507"/>
      <c r="JX48" s="507"/>
      <c r="JY48" s="507"/>
      <c r="JZ48" s="507"/>
      <c r="KA48" s="507"/>
      <c r="KB48" s="507"/>
      <c r="KC48" s="507"/>
      <c r="KD48" s="507"/>
      <c r="KE48" s="507"/>
      <c r="KF48" s="507"/>
      <c r="KG48" s="507"/>
      <c r="KH48" s="507"/>
      <c r="KI48" s="507"/>
      <c r="KJ48" s="507"/>
    </row>
    <row r="49" spans="1:296" s="158" customFormat="1" ht="12" customHeight="1">
      <c r="B49" s="533"/>
      <c r="D49" s="15"/>
      <c r="E49" s="175"/>
      <c r="F49" s="175"/>
      <c r="G49" s="757"/>
      <c r="H49" s="757"/>
      <c r="I49" s="757"/>
      <c r="J49" s="757"/>
      <c r="K49" s="149" t="s">
        <v>846</v>
      </c>
      <c r="L49" s="133">
        <f>L48*12</f>
        <v>2491500</v>
      </c>
      <c r="M49" s="100"/>
      <c r="N49" s="758"/>
      <c r="O49" s="100"/>
      <c r="P49" s="100"/>
      <c r="Q49" s="100"/>
      <c r="R49" s="100"/>
      <c r="S49" s="100"/>
      <c r="T49" s="100"/>
      <c r="U49" s="100"/>
      <c r="V49" s="760"/>
      <c r="W49" s="760"/>
      <c r="X49" s="760"/>
      <c r="Y49" s="760"/>
      <c r="Z49" s="760"/>
      <c r="AA49" s="760"/>
      <c r="AB49" s="760"/>
      <c r="AC49" s="760"/>
      <c r="AD49" s="760"/>
      <c r="AE49" s="760"/>
      <c r="AF49" s="760"/>
      <c r="AG49" s="760"/>
      <c r="AH49" s="760"/>
      <c r="AI49" s="760"/>
      <c r="AJ49" s="760"/>
      <c r="AK49" s="760"/>
      <c r="AL49" s="760"/>
      <c r="AM49" s="760"/>
      <c r="AN49" s="760"/>
      <c r="AO49" s="760"/>
      <c r="AP49" s="760"/>
      <c r="AQ49" s="760"/>
      <c r="AR49" s="760"/>
      <c r="AS49" s="760"/>
      <c r="AT49" s="760"/>
      <c r="AU49" s="760"/>
      <c r="AV49" s="760"/>
      <c r="AW49" s="760"/>
      <c r="AX49" s="760"/>
      <c r="AY49" s="760"/>
      <c r="AZ49" s="760"/>
      <c r="BA49" s="760"/>
      <c r="BB49" s="760"/>
      <c r="BC49" s="760"/>
      <c r="BD49" s="760"/>
      <c r="BE49" s="760"/>
      <c r="BF49" s="760"/>
      <c r="BG49" s="760"/>
      <c r="BH49" s="760"/>
      <c r="BI49" s="760"/>
      <c r="BJ49" s="760"/>
      <c r="BK49" s="760"/>
      <c r="BL49" s="760"/>
      <c r="BM49" s="760"/>
      <c r="BN49" s="760"/>
      <c r="BO49" s="760"/>
      <c r="BP49" s="760"/>
      <c r="BQ49" s="760"/>
      <c r="BR49" s="760"/>
      <c r="BS49" s="760"/>
      <c r="BT49" s="760"/>
      <c r="BU49" s="760"/>
      <c r="BV49" s="760"/>
      <c r="BW49" s="760"/>
      <c r="BX49" s="760"/>
      <c r="BY49" s="760"/>
      <c r="BZ49" s="760"/>
      <c r="CA49" s="760"/>
      <c r="CB49" s="760"/>
      <c r="CC49" s="760"/>
      <c r="CD49" s="760"/>
      <c r="CE49" s="760"/>
      <c r="CF49" s="760"/>
      <c r="CG49" s="760"/>
      <c r="CH49" s="760"/>
      <c r="CI49" s="760"/>
      <c r="CJ49" s="760"/>
      <c r="CK49" s="760"/>
      <c r="CL49" s="760"/>
      <c r="CM49" s="760"/>
      <c r="CN49" s="760"/>
      <c r="CO49" s="760"/>
      <c r="CP49" s="760"/>
      <c r="CQ49" s="760"/>
      <c r="CR49" s="760"/>
      <c r="CS49" s="760"/>
      <c r="CT49" s="760"/>
      <c r="CU49" s="760"/>
      <c r="CV49" s="760"/>
      <c r="CW49" s="760"/>
      <c r="CX49" s="760"/>
      <c r="CY49" s="760"/>
      <c r="CZ49" s="760"/>
      <c r="DA49" s="760"/>
      <c r="DB49" s="760"/>
      <c r="DC49" s="760"/>
      <c r="DD49" s="760"/>
      <c r="DE49" s="760"/>
      <c r="DF49" s="760"/>
      <c r="DG49" s="760"/>
      <c r="DH49" s="760"/>
      <c r="DI49" s="760"/>
      <c r="DJ49" s="760"/>
      <c r="DK49" s="760"/>
      <c r="DL49" s="760"/>
      <c r="DM49" s="760"/>
      <c r="DN49" s="760"/>
      <c r="DO49" s="760"/>
      <c r="DP49" s="760"/>
      <c r="DQ49" s="760"/>
      <c r="DR49" s="760"/>
      <c r="DS49" s="760"/>
      <c r="DT49" s="760"/>
      <c r="DU49" s="760"/>
      <c r="DV49" s="760"/>
      <c r="DW49" s="760"/>
      <c r="DX49" s="760"/>
      <c r="DY49" s="760"/>
      <c r="DZ49" s="760"/>
      <c r="EA49" s="760"/>
      <c r="EB49" s="760"/>
      <c r="EC49" s="760"/>
      <c r="ED49" s="760"/>
      <c r="EE49" s="760"/>
      <c r="EF49" s="760"/>
      <c r="EG49" s="760"/>
      <c r="EH49" s="760"/>
      <c r="EI49" s="760"/>
      <c r="EJ49" s="760"/>
      <c r="EK49" s="760"/>
      <c r="EL49" s="760"/>
      <c r="EM49" s="760"/>
      <c r="EN49" s="760"/>
      <c r="EO49" s="760"/>
      <c r="EP49" s="760"/>
      <c r="EQ49" s="760"/>
      <c r="ER49" s="760"/>
      <c r="ES49" s="760"/>
      <c r="ET49" s="760"/>
      <c r="EU49" s="760"/>
      <c r="EV49" s="760"/>
      <c r="EW49" s="760"/>
      <c r="EX49" s="519"/>
      <c r="EY49" s="519"/>
      <c r="EZ49" s="519"/>
      <c r="FA49" s="519"/>
      <c r="FB49" s="519"/>
      <c r="FC49" s="519"/>
      <c r="FD49" s="519"/>
      <c r="FE49" s="519"/>
      <c r="FF49" s="519"/>
      <c r="FG49" s="519"/>
      <c r="FH49" s="519"/>
      <c r="FI49" s="519"/>
      <c r="FJ49" s="519"/>
      <c r="FK49" s="519"/>
      <c r="FL49" s="519"/>
      <c r="FM49" s="519"/>
      <c r="FN49" s="519"/>
      <c r="FO49" s="519"/>
      <c r="FP49" s="519"/>
      <c r="FQ49" s="519"/>
      <c r="FR49" s="519"/>
      <c r="FS49" s="519"/>
      <c r="FT49" s="519"/>
      <c r="FU49" s="519"/>
      <c r="FV49" s="519"/>
      <c r="FW49" s="519"/>
      <c r="FX49" s="519"/>
      <c r="FY49" s="519"/>
      <c r="FZ49" s="519"/>
      <c r="GA49" s="519"/>
      <c r="GB49" s="519"/>
      <c r="GC49" s="519"/>
      <c r="GD49" s="519"/>
      <c r="GE49" s="519"/>
      <c r="GF49" s="519"/>
      <c r="GG49" s="519"/>
      <c r="GH49" s="519"/>
      <c r="GI49" s="519"/>
      <c r="GJ49" s="519"/>
      <c r="GK49" s="519"/>
      <c r="GL49" s="519"/>
      <c r="GM49" s="519"/>
      <c r="GN49" s="519"/>
      <c r="GO49" s="519"/>
      <c r="GP49" s="519"/>
      <c r="GQ49" s="519"/>
      <c r="GR49" s="519"/>
      <c r="GS49" s="519"/>
      <c r="GT49" s="519"/>
      <c r="GU49" s="519"/>
      <c r="GV49" s="519"/>
      <c r="GW49" s="519"/>
      <c r="GX49" s="519"/>
      <c r="GY49" s="519"/>
      <c r="GZ49" s="519"/>
      <c r="HA49" s="519"/>
      <c r="HB49" s="519"/>
      <c r="HC49" s="519"/>
      <c r="HD49" s="519"/>
      <c r="HE49" s="519"/>
      <c r="HF49" s="519"/>
      <c r="HG49" s="519"/>
      <c r="HH49" s="519"/>
      <c r="HI49" s="519"/>
      <c r="HJ49" s="519"/>
      <c r="HK49" s="519"/>
      <c r="HL49" s="519"/>
      <c r="HM49" s="519"/>
      <c r="HN49" s="519"/>
      <c r="HO49" s="519"/>
      <c r="HP49" s="519"/>
      <c r="HQ49" s="519"/>
      <c r="HR49" s="519"/>
      <c r="HS49" s="519"/>
      <c r="HT49" s="519"/>
      <c r="HU49" s="519"/>
      <c r="HV49" s="519"/>
      <c r="HW49" s="519"/>
      <c r="HX49" s="519"/>
      <c r="HY49" s="519"/>
      <c r="HZ49" s="519"/>
      <c r="IA49" s="519"/>
      <c r="IB49" s="519"/>
      <c r="IC49" s="519"/>
      <c r="ID49" s="519"/>
      <c r="IE49" s="519"/>
      <c r="IF49" s="519"/>
      <c r="IG49" s="519"/>
      <c r="IH49" s="519"/>
      <c r="II49" s="519"/>
      <c r="IJ49" s="519"/>
      <c r="IK49" s="519"/>
      <c r="IL49" s="519"/>
      <c r="IM49" s="519"/>
      <c r="IN49" s="519"/>
      <c r="IO49" s="519"/>
      <c r="IP49" s="519"/>
      <c r="IQ49" s="519"/>
      <c r="IR49" s="519"/>
      <c r="IS49" s="519"/>
      <c r="IT49" s="519"/>
      <c r="IU49" s="519"/>
      <c r="IV49" s="519"/>
      <c r="IW49" s="519"/>
      <c r="IX49" s="519"/>
      <c r="IY49" s="519"/>
      <c r="IZ49" s="519"/>
      <c r="JA49" s="519"/>
      <c r="JB49" s="519"/>
      <c r="JC49" s="507"/>
      <c r="JD49" s="507"/>
      <c r="JE49" s="507"/>
      <c r="JF49" s="507"/>
      <c r="JG49" s="507"/>
      <c r="JH49" s="507"/>
      <c r="JI49" s="507"/>
      <c r="JJ49" s="507"/>
      <c r="JK49" s="507"/>
      <c r="JL49" s="507"/>
      <c r="JM49" s="507"/>
      <c r="JN49" s="507"/>
      <c r="JO49" s="507"/>
      <c r="JP49" s="507"/>
      <c r="JQ49" s="507"/>
      <c r="JT49" s="507"/>
      <c r="JU49" s="507"/>
      <c r="JV49" s="507"/>
      <c r="JW49" s="507"/>
      <c r="JX49" s="507"/>
      <c r="JY49" s="507"/>
      <c r="JZ49" s="507"/>
      <c r="KA49" s="507"/>
      <c r="KB49" s="507"/>
      <c r="KC49" s="507"/>
      <c r="KD49" s="507"/>
      <c r="KE49" s="507"/>
      <c r="KF49" s="507"/>
      <c r="KG49" s="507"/>
      <c r="KH49" s="507"/>
      <c r="KI49" s="507"/>
      <c r="KJ49" s="507"/>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60"/>
      <c r="X50" s="760"/>
      <c r="Y50" s="760"/>
      <c r="Z50" s="760"/>
      <c r="AA50" s="760"/>
      <c r="AB50" s="760"/>
      <c r="AC50" s="760"/>
      <c r="AD50" s="760"/>
      <c r="AE50" s="760"/>
      <c r="AF50" s="760"/>
      <c r="AG50" s="760"/>
      <c r="AH50" s="760"/>
      <c r="AI50" s="760"/>
      <c r="AJ50" s="760"/>
      <c r="AK50" s="760"/>
      <c r="AL50" s="760"/>
      <c r="AM50" s="760"/>
      <c r="AN50" s="760"/>
      <c r="AO50" s="760"/>
      <c r="AP50" s="760"/>
      <c r="AQ50" s="760"/>
      <c r="AR50" s="760"/>
      <c r="AS50" s="760"/>
      <c r="AT50" s="760"/>
      <c r="AU50" s="760"/>
      <c r="AV50" s="760"/>
      <c r="AW50" s="760"/>
      <c r="AX50" s="760"/>
      <c r="AY50" s="760"/>
      <c r="AZ50" s="760"/>
      <c r="BA50" s="760"/>
      <c r="BB50" s="760"/>
      <c r="BC50" s="760"/>
      <c r="BD50" s="760"/>
      <c r="BE50" s="760"/>
      <c r="BF50" s="760"/>
      <c r="BG50" s="760"/>
      <c r="BH50" s="760"/>
      <c r="BI50" s="760"/>
      <c r="BJ50" s="760"/>
      <c r="BK50" s="760"/>
      <c r="BL50" s="760"/>
      <c r="BM50" s="760"/>
      <c r="BN50" s="760"/>
      <c r="BO50" s="760"/>
      <c r="BP50" s="760"/>
      <c r="BQ50" s="760"/>
      <c r="BR50" s="760"/>
      <c r="BS50" s="760"/>
      <c r="BT50" s="760"/>
      <c r="BU50" s="760"/>
      <c r="BV50" s="760"/>
      <c r="BW50" s="760"/>
      <c r="BX50" s="760"/>
      <c r="BY50" s="760"/>
      <c r="BZ50" s="760"/>
      <c r="CA50" s="760"/>
      <c r="CB50" s="760"/>
      <c r="CC50" s="760"/>
      <c r="CD50" s="760"/>
      <c r="CE50" s="760"/>
      <c r="CF50" s="760"/>
      <c r="CG50" s="760"/>
      <c r="CH50" s="760"/>
      <c r="CI50" s="760"/>
      <c r="CJ50" s="760"/>
      <c r="CK50" s="760"/>
      <c r="CL50" s="760"/>
      <c r="CM50" s="760"/>
      <c r="CN50" s="760"/>
      <c r="CO50" s="760"/>
      <c r="CP50" s="760"/>
      <c r="CQ50" s="760"/>
      <c r="CR50" s="760"/>
      <c r="CS50" s="760"/>
      <c r="CT50" s="760"/>
      <c r="CU50" s="760"/>
      <c r="CV50" s="760"/>
      <c r="CW50" s="760"/>
      <c r="CX50" s="760"/>
      <c r="CY50" s="760"/>
      <c r="CZ50" s="760"/>
      <c r="DA50" s="760"/>
      <c r="DB50" s="760"/>
      <c r="DC50" s="760"/>
      <c r="DD50" s="760"/>
      <c r="DE50" s="760"/>
      <c r="DF50" s="760"/>
      <c r="DG50" s="760"/>
      <c r="DH50" s="760"/>
      <c r="DI50" s="760"/>
      <c r="DJ50" s="760"/>
      <c r="DK50" s="760"/>
      <c r="DL50" s="760"/>
      <c r="DM50" s="760"/>
      <c r="DN50" s="760"/>
      <c r="DO50" s="760"/>
      <c r="DP50" s="760"/>
      <c r="DQ50" s="760"/>
      <c r="DR50" s="760"/>
      <c r="DS50" s="760"/>
      <c r="DT50" s="760"/>
      <c r="DU50" s="760"/>
      <c r="DV50" s="760"/>
      <c r="DW50" s="760"/>
      <c r="DX50" s="760"/>
      <c r="DY50" s="760"/>
      <c r="DZ50" s="760"/>
      <c r="EA50" s="760"/>
      <c r="EB50" s="760"/>
      <c r="EC50" s="760"/>
      <c r="ED50" s="760"/>
      <c r="EE50" s="760"/>
      <c r="EF50" s="760"/>
      <c r="EG50" s="760"/>
      <c r="EH50" s="760"/>
      <c r="EI50" s="760"/>
      <c r="EJ50" s="760"/>
      <c r="EK50" s="760"/>
      <c r="EL50" s="760"/>
      <c r="EM50" s="760"/>
      <c r="EN50" s="760"/>
      <c r="EO50" s="760"/>
      <c r="EP50" s="760"/>
      <c r="EQ50" s="760"/>
      <c r="ER50" s="760"/>
      <c r="ES50" s="760"/>
      <c r="ET50" s="760"/>
      <c r="EU50" s="760"/>
      <c r="EV50" s="760"/>
      <c r="EW50" s="760"/>
      <c r="EX50" s="519"/>
      <c r="EY50" s="519"/>
      <c r="EZ50" s="519"/>
      <c r="FA50" s="519"/>
      <c r="FB50" s="519"/>
      <c r="FC50" s="519"/>
      <c r="FD50" s="519"/>
      <c r="FE50" s="519"/>
      <c r="FF50" s="519"/>
      <c r="FG50" s="519"/>
      <c r="FH50" s="519"/>
      <c r="FI50" s="519"/>
      <c r="FJ50" s="519"/>
      <c r="FK50" s="519"/>
      <c r="FL50" s="519"/>
      <c r="FM50" s="519"/>
      <c r="FN50" s="519"/>
      <c r="FO50" s="519"/>
      <c r="FP50" s="519"/>
      <c r="FQ50" s="519"/>
      <c r="FR50" s="519"/>
      <c r="FS50" s="519"/>
      <c r="FT50" s="519"/>
      <c r="FU50" s="519"/>
      <c r="FV50" s="519"/>
      <c r="FW50" s="519"/>
      <c r="FX50" s="519"/>
      <c r="FY50" s="519"/>
      <c r="FZ50" s="519"/>
      <c r="GA50" s="519"/>
      <c r="GB50" s="519"/>
      <c r="GC50" s="519"/>
      <c r="GD50" s="519"/>
      <c r="GE50" s="519"/>
      <c r="GF50" s="519"/>
      <c r="GG50" s="519"/>
      <c r="GH50" s="519"/>
      <c r="GI50" s="519"/>
      <c r="GJ50" s="519"/>
      <c r="GK50" s="519"/>
      <c r="GL50" s="519"/>
      <c r="GM50" s="519"/>
      <c r="GN50" s="519"/>
      <c r="GO50" s="519"/>
      <c r="GP50" s="519"/>
      <c r="GQ50" s="519"/>
      <c r="GR50" s="519"/>
      <c r="GS50" s="519"/>
      <c r="GT50" s="519"/>
      <c r="GU50" s="519"/>
      <c r="GV50" s="519"/>
      <c r="GW50" s="519"/>
      <c r="GX50" s="519"/>
      <c r="GY50" s="519"/>
      <c r="GZ50" s="519"/>
      <c r="HA50" s="519"/>
      <c r="HB50" s="519"/>
      <c r="HC50" s="519"/>
      <c r="HD50" s="519"/>
      <c r="HE50" s="519"/>
      <c r="HF50" s="519"/>
      <c r="HG50" s="519"/>
      <c r="HH50" s="519"/>
      <c r="HI50" s="519"/>
      <c r="HJ50" s="519"/>
      <c r="HK50" s="519"/>
      <c r="HL50" s="519"/>
      <c r="HM50" s="519"/>
      <c r="HN50" s="519"/>
      <c r="HO50" s="519"/>
      <c r="HP50" s="519"/>
      <c r="HQ50" s="519"/>
      <c r="HR50" s="519"/>
      <c r="HS50" s="519"/>
      <c r="HT50" s="519"/>
      <c r="HU50" s="519"/>
      <c r="HV50" s="519"/>
      <c r="HW50" s="519"/>
      <c r="HX50" s="519"/>
      <c r="HY50" s="519"/>
      <c r="HZ50" s="519"/>
      <c r="IA50" s="519"/>
      <c r="IB50" s="519"/>
      <c r="IC50" s="519"/>
      <c r="ID50" s="519"/>
      <c r="IE50" s="519"/>
      <c r="IF50" s="519"/>
      <c r="IG50" s="519"/>
      <c r="IH50" s="519"/>
      <c r="II50" s="519"/>
      <c r="IJ50" s="519"/>
      <c r="IK50" s="519"/>
      <c r="IL50" s="519"/>
      <c r="IM50" s="519"/>
      <c r="IN50" s="519"/>
      <c r="IO50" s="519"/>
      <c r="IP50" s="519"/>
      <c r="IQ50" s="519"/>
      <c r="IR50" s="519"/>
      <c r="IS50" s="519"/>
      <c r="IT50" s="519"/>
      <c r="IU50" s="519"/>
      <c r="IV50" s="519"/>
      <c r="IW50" s="519"/>
      <c r="IX50" s="519"/>
      <c r="IY50" s="519"/>
      <c r="IZ50" s="519"/>
      <c r="JA50" s="519"/>
      <c r="JB50" s="519"/>
    </row>
    <row r="51" spans="1:296" ht="12" customHeight="1">
      <c r="A51" s="2072" t="s">
        <v>2709</v>
      </c>
      <c r="B51" s="2841"/>
      <c r="C51" s="2841"/>
      <c r="D51" s="2841"/>
      <c r="E51" s="2841"/>
      <c r="F51" s="2841"/>
      <c r="G51" s="2841"/>
      <c r="H51" s="2841"/>
      <c r="I51" s="2841"/>
      <c r="J51" s="2841"/>
      <c r="K51" s="2841"/>
      <c r="L51" s="2841"/>
      <c r="M51" s="2841"/>
      <c r="N51" s="2841"/>
      <c r="O51" s="2841"/>
      <c r="P51" s="2841"/>
      <c r="Q51" s="2842"/>
      <c r="R51" s="96"/>
      <c r="S51" s="96"/>
      <c r="T51" s="96"/>
      <c r="U51" s="96"/>
      <c r="V51" s="324"/>
      <c r="W51" s="760"/>
      <c r="X51" s="760"/>
      <c r="Y51" s="760"/>
      <c r="Z51" s="760"/>
      <c r="AA51" s="760"/>
      <c r="AB51" s="760"/>
      <c r="AC51" s="760"/>
      <c r="AD51" s="760"/>
      <c r="AE51" s="760"/>
      <c r="AF51" s="760"/>
      <c r="AG51" s="760"/>
      <c r="AH51" s="760"/>
      <c r="AI51" s="760"/>
      <c r="AJ51" s="760"/>
      <c r="AK51" s="760"/>
      <c r="AL51" s="760"/>
      <c r="AM51" s="760"/>
      <c r="AN51" s="760"/>
      <c r="AO51" s="760"/>
      <c r="AP51" s="760"/>
      <c r="AQ51" s="760"/>
      <c r="AR51" s="760"/>
      <c r="AS51" s="760"/>
      <c r="AT51" s="760"/>
      <c r="AU51" s="760"/>
      <c r="AV51" s="760"/>
      <c r="AW51" s="760"/>
      <c r="AX51" s="760"/>
      <c r="AY51" s="760"/>
      <c r="AZ51" s="760"/>
      <c r="BA51" s="760"/>
      <c r="BB51" s="760"/>
      <c r="BC51" s="760"/>
      <c r="BD51" s="760"/>
      <c r="BE51" s="760"/>
      <c r="BF51" s="760"/>
      <c r="BG51" s="760"/>
      <c r="BH51" s="760"/>
      <c r="BI51" s="760"/>
      <c r="BJ51" s="760"/>
      <c r="BK51" s="760"/>
      <c r="BL51" s="760"/>
      <c r="BM51" s="760"/>
      <c r="BN51" s="760"/>
      <c r="BO51" s="760"/>
      <c r="BP51" s="760"/>
      <c r="BQ51" s="760"/>
      <c r="BR51" s="760"/>
      <c r="BS51" s="760"/>
      <c r="BT51" s="760"/>
      <c r="BU51" s="760"/>
      <c r="BV51" s="760"/>
      <c r="BW51" s="760"/>
      <c r="BX51" s="760"/>
      <c r="BY51" s="760"/>
      <c r="BZ51" s="760"/>
      <c r="CA51" s="760"/>
      <c r="CB51" s="760"/>
      <c r="CC51" s="760"/>
      <c r="CD51" s="760"/>
      <c r="CE51" s="760"/>
      <c r="CF51" s="760"/>
      <c r="CG51" s="760"/>
      <c r="CH51" s="760"/>
      <c r="CI51" s="760"/>
      <c r="CJ51" s="760"/>
      <c r="CK51" s="760"/>
      <c r="CL51" s="760"/>
      <c r="CM51" s="760"/>
      <c r="CN51" s="760"/>
      <c r="CO51" s="760"/>
      <c r="CP51" s="760"/>
      <c r="CQ51" s="760"/>
      <c r="CR51" s="760"/>
      <c r="CS51" s="760"/>
      <c r="CT51" s="760"/>
      <c r="CU51" s="760"/>
      <c r="CV51" s="760"/>
      <c r="CW51" s="760"/>
      <c r="CX51" s="760"/>
      <c r="CY51" s="760"/>
      <c r="CZ51" s="760"/>
      <c r="DA51" s="760"/>
      <c r="DB51" s="760"/>
      <c r="DC51" s="760"/>
      <c r="DD51" s="760"/>
      <c r="DE51" s="760"/>
      <c r="DF51" s="760"/>
      <c r="DG51" s="760"/>
      <c r="DH51" s="760"/>
      <c r="DI51" s="760"/>
      <c r="DJ51" s="760"/>
      <c r="DK51" s="760"/>
      <c r="DL51" s="760"/>
      <c r="DM51" s="760"/>
      <c r="DN51" s="760"/>
      <c r="DO51" s="760"/>
      <c r="DP51" s="760"/>
      <c r="DQ51" s="760"/>
      <c r="DR51" s="760"/>
      <c r="DS51" s="760"/>
      <c r="DT51" s="760"/>
      <c r="DU51" s="760"/>
      <c r="DV51" s="760"/>
      <c r="DW51" s="760"/>
      <c r="DX51" s="760"/>
      <c r="DY51" s="760"/>
      <c r="DZ51" s="760"/>
      <c r="EA51" s="760"/>
      <c r="EB51" s="760"/>
      <c r="EC51" s="760"/>
      <c r="ED51" s="760"/>
      <c r="EE51" s="760"/>
      <c r="EF51" s="760"/>
      <c r="EG51" s="760"/>
      <c r="EH51" s="760"/>
      <c r="EI51" s="760"/>
      <c r="EJ51" s="760"/>
      <c r="EK51" s="760"/>
      <c r="EL51" s="760"/>
      <c r="EM51" s="760"/>
      <c r="EN51" s="760"/>
      <c r="EO51" s="760"/>
      <c r="EP51" s="760"/>
      <c r="EQ51" s="760"/>
      <c r="ER51" s="760"/>
      <c r="ES51" s="760"/>
      <c r="ET51" s="760"/>
      <c r="EU51" s="760"/>
      <c r="EV51" s="760"/>
      <c r="EW51" s="760"/>
      <c r="EX51" s="519"/>
      <c r="EY51" s="519"/>
      <c r="EZ51" s="519"/>
      <c r="FA51" s="519"/>
      <c r="FB51" s="519"/>
      <c r="FC51" s="519"/>
      <c r="FD51" s="519"/>
      <c r="FE51" s="519"/>
      <c r="FF51" s="519"/>
      <c r="FG51" s="519"/>
      <c r="FH51" s="519"/>
      <c r="FI51" s="519"/>
      <c r="FJ51" s="519"/>
      <c r="FK51" s="519"/>
      <c r="FL51" s="519"/>
      <c r="FM51" s="519"/>
      <c r="FN51" s="519"/>
      <c r="FO51" s="519"/>
      <c r="FP51" s="519"/>
      <c r="FQ51" s="519"/>
      <c r="FR51" s="519"/>
      <c r="FS51" s="519"/>
      <c r="FT51" s="519"/>
      <c r="FU51" s="519"/>
      <c r="FV51" s="519"/>
      <c r="FW51" s="519"/>
      <c r="FX51" s="519"/>
      <c r="FY51" s="519"/>
      <c r="FZ51" s="519"/>
      <c r="GA51" s="519"/>
      <c r="GB51" s="519"/>
      <c r="GC51" s="519"/>
      <c r="GD51" s="519"/>
      <c r="GE51" s="519"/>
      <c r="GF51" s="519"/>
      <c r="GG51" s="519"/>
      <c r="GH51" s="519"/>
      <c r="GI51" s="519"/>
      <c r="GJ51" s="519"/>
      <c r="GK51" s="519"/>
      <c r="GL51" s="519"/>
      <c r="GM51" s="519"/>
      <c r="GN51" s="519"/>
      <c r="GO51" s="519"/>
      <c r="GP51" s="519"/>
      <c r="GQ51" s="519"/>
      <c r="GR51" s="519"/>
      <c r="GS51" s="519"/>
      <c r="GT51" s="519"/>
      <c r="GU51" s="519"/>
      <c r="GV51" s="519"/>
      <c r="GW51" s="519"/>
      <c r="GX51" s="519"/>
      <c r="GY51" s="519"/>
      <c r="GZ51" s="519"/>
      <c r="HA51" s="519"/>
      <c r="HB51" s="519"/>
      <c r="HC51" s="519"/>
      <c r="HD51" s="519"/>
      <c r="HE51" s="519"/>
      <c r="HF51" s="519"/>
      <c r="HG51" s="519"/>
      <c r="HH51" s="519"/>
      <c r="HI51" s="519"/>
      <c r="HJ51" s="519"/>
      <c r="HK51" s="519"/>
      <c r="HL51" s="519"/>
      <c r="HM51" s="519"/>
      <c r="HN51" s="519"/>
      <c r="HO51" s="519"/>
      <c r="HP51" s="519"/>
      <c r="HQ51" s="519"/>
      <c r="HR51" s="519"/>
      <c r="HS51" s="519"/>
      <c r="HT51" s="519"/>
      <c r="HU51" s="519"/>
      <c r="HV51" s="519"/>
      <c r="HW51" s="519"/>
      <c r="HX51" s="519"/>
      <c r="HY51" s="519"/>
      <c r="HZ51" s="519"/>
      <c r="IA51" s="519"/>
      <c r="IB51" s="519"/>
      <c r="IC51" s="519"/>
      <c r="ID51" s="519"/>
      <c r="IE51" s="519"/>
      <c r="IF51" s="519"/>
      <c r="IG51" s="519"/>
      <c r="IH51" s="519"/>
      <c r="II51" s="519"/>
      <c r="IJ51" s="519"/>
      <c r="IK51" s="519"/>
      <c r="IL51" s="519"/>
      <c r="IM51" s="519"/>
      <c r="IN51" s="519"/>
      <c r="IO51" s="519"/>
      <c r="IP51" s="519"/>
      <c r="IQ51" s="519"/>
      <c r="IR51" s="519"/>
      <c r="IS51" s="519"/>
      <c r="IT51" s="519"/>
      <c r="IU51" s="519"/>
      <c r="IV51" s="519"/>
      <c r="IW51" s="519"/>
      <c r="IX51" s="519"/>
      <c r="IY51" s="519"/>
      <c r="IZ51" s="519"/>
      <c r="JA51" s="519"/>
      <c r="JB51" s="519"/>
    </row>
    <row r="52" spans="1:296" ht="12" customHeight="1">
      <c r="A52" s="2841"/>
      <c r="B52" s="2841"/>
      <c r="C52" s="2841"/>
      <c r="D52" s="2841"/>
      <c r="E52" s="2841"/>
      <c r="F52" s="2841"/>
      <c r="G52" s="2841"/>
      <c r="H52" s="2841"/>
      <c r="I52" s="2841"/>
      <c r="J52" s="2841"/>
      <c r="K52" s="2841"/>
      <c r="L52" s="2841"/>
      <c r="M52" s="2841"/>
      <c r="N52" s="2841"/>
      <c r="O52" s="2841"/>
      <c r="P52" s="2841"/>
      <c r="Q52" s="2842"/>
      <c r="R52" s="96"/>
      <c r="S52" s="96"/>
      <c r="T52" s="96"/>
      <c r="U52" s="96"/>
      <c r="V52" s="324"/>
      <c r="W52" s="760"/>
      <c r="X52" s="760"/>
      <c r="Y52" s="760"/>
      <c r="Z52" s="760"/>
      <c r="AA52" s="760"/>
      <c r="AB52" s="760"/>
      <c r="AC52" s="760"/>
      <c r="AD52" s="760"/>
      <c r="AE52" s="760"/>
      <c r="AF52" s="760"/>
      <c r="AG52" s="760"/>
      <c r="AH52" s="760"/>
      <c r="AI52" s="760"/>
      <c r="AJ52" s="760"/>
      <c r="AK52" s="760"/>
      <c r="AL52" s="760"/>
      <c r="AM52" s="760"/>
      <c r="AN52" s="760"/>
      <c r="AO52" s="760"/>
      <c r="AP52" s="760"/>
      <c r="AQ52" s="760"/>
      <c r="AR52" s="760"/>
      <c r="AS52" s="760"/>
      <c r="AT52" s="760"/>
      <c r="AU52" s="760"/>
      <c r="AV52" s="760"/>
      <c r="AW52" s="760"/>
      <c r="AX52" s="760"/>
      <c r="AY52" s="760"/>
      <c r="AZ52" s="760"/>
      <c r="BA52" s="760"/>
      <c r="BB52" s="760"/>
      <c r="BC52" s="760"/>
      <c r="BD52" s="760"/>
      <c r="BE52" s="760"/>
      <c r="BF52" s="760"/>
      <c r="BG52" s="760"/>
      <c r="BH52" s="760"/>
      <c r="BI52" s="760"/>
      <c r="BJ52" s="760"/>
      <c r="BK52" s="760"/>
      <c r="BL52" s="760"/>
      <c r="BM52" s="760"/>
      <c r="BN52" s="760"/>
      <c r="BO52" s="760"/>
      <c r="BP52" s="760"/>
      <c r="BQ52" s="760"/>
      <c r="BR52" s="760"/>
      <c r="BS52" s="760"/>
      <c r="BT52" s="760"/>
      <c r="BU52" s="760"/>
      <c r="BV52" s="760"/>
      <c r="BW52" s="760"/>
      <c r="BX52" s="760"/>
      <c r="BY52" s="760"/>
      <c r="BZ52" s="760"/>
      <c r="CA52" s="760"/>
      <c r="CB52" s="760"/>
      <c r="CC52" s="760"/>
      <c r="CD52" s="760"/>
      <c r="CE52" s="760"/>
      <c r="CF52" s="760"/>
      <c r="CG52" s="760"/>
      <c r="CH52" s="760"/>
      <c r="CI52" s="760"/>
      <c r="CJ52" s="760"/>
      <c r="CK52" s="760"/>
      <c r="CL52" s="760"/>
      <c r="CM52" s="760"/>
      <c r="CN52" s="760"/>
      <c r="CO52" s="760"/>
      <c r="CP52" s="760"/>
      <c r="CQ52" s="760"/>
      <c r="CR52" s="760"/>
      <c r="CS52" s="760"/>
      <c r="CT52" s="760"/>
      <c r="CU52" s="760"/>
      <c r="CV52" s="760"/>
      <c r="CW52" s="760"/>
      <c r="CX52" s="760"/>
      <c r="CY52" s="760"/>
      <c r="CZ52" s="760"/>
      <c r="DA52" s="760"/>
      <c r="DB52" s="760"/>
      <c r="DC52" s="760"/>
      <c r="DD52" s="760"/>
      <c r="DE52" s="760"/>
      <c r="DF52" s="760"/>
      <c r="DG52" s="760"/>
      <c r="DH52" s="760"/>
      <c r="DI52" s="760"/>
      <c r="DJ52" s="760"/>
      <c r="DK52" s="760"/>
      <c r="DL52" s="760"/>
      <c r="DM52" s="760"/>
      <c r="DN52" s="760"/>
      <c r="DO52" s="760"/>
      <c r="DP52" s="760"/>
      <c r="DQ52" s="760"/>
      <c r="DR52" s="760"/>
      <c r="DS52" s="760"/>
      <c r="DT52" s="760"/>
      <c r="DU52" s="760"/>
      <c r="DV52" s="760"/>
      <c r="DW52" s="760"/>
      <c r="DX52" s="760"/>
      <c r="DY52" s="760"/>
      <c r="DZ52" s="760"/>
      <c r="EA52" s="760"/>
      <c r="EB52" s="760"/>
      <c r="EC52" s="760"/>
      <c r="ED52" s="760"/>
      <c r="EE52" s="760"/>
      <c r="EF52" s="760"/>
      <c r="EG52" s="760"/>
      <c r="EH52" s="760"/>
      <c r="EI52" s="760"/>
      <c r="EJ52" s="760"/>
      <c r="EK52" s="760"/>
      <c r="EL52" s="760"/>
      <c r="EM52" s="760"/>
      <c r="EN52" s="760"/>
      <c r="EO52" s="760"/>
      <c r="EP52" s="760"/>
      <c r="EQ52" s="760"/>
      <c r="ER52" s="760"/>
      <c r="ES52" s="760"/>
      <c r="ET52" s="760"/>
      <c r="EU52" s="760"/>
      <c r="EV52" s="760"/>
      <c r="EW52" s="760"/>
      <c r="EX52" s="519"/>
      <c r="EY52" s="519"/>
      <c r="EZ52" s="519"/>
      <c r="FA52" s="519"/>
      <c r="FB52" s="519"/>
      <c r="FC52" s="519"/>
      <c r="FD52" s="519"/>
      <c r="FE52" s="519"/>
      <c r="FF52" s="519"/>
      <c r="FG52" s="519"/>
      <c r="FH52" s="519"/>
      <c r="FI52" s="519"/>
      <c r="FJ52" s="519"/>
      <c r="FK52" s="519"/>
      <c r="FL52" s="519"/>
      <c r="FM52" s="519"/>
      <c r="FN52" s="519"/>
      <c r="FO52" s="519"/>
      <c r="FP52" s="519"/>
      <c r="FQ52" s="519"/>
      <c r="FR52" s="519"/>
      <c r="FS52" s="519"/>
      <c r="FT52" s="519"/>
      <c r="FU52" s="519"/>
      <c r="FV52" s="519"/>
      <c r="FW52" s="519"/>
      <c r="FX52" s="519"/>
      <c r="FY52" s="519"/>
      <c r="FZ52" s="519"/>
      <c r="GA52" s="519"/>
      <c r="GB52" s="519"/>
      <c r="GC52" s="519"/>
      <c r="GD52" s="519"/>
      <c r="GE52" s="519"/>
      <c r="GF52" s="519"/>
      <c r="GG52" s="519"/>
      <c r="GH52" s="519"/>
      <c r="GI52" s="519"/>
      <c r="GJ52" s="519"/>
      <c r="GK52" s="519"/>
      <c r="GL52" s="519"/>
      <c r="GM52" s="519"/>
      <c r="GN52" s="519"/>
      <c r="GO52" s="519"/>
      <c r="GP52" s="519"/>
      <c r="GQ52" s="519"/>
      <c r="GR52" s="519"/>
      <c r="GS52" s="519"/>
      <c r="GT52" s="519"/>
      <c r="GU52" s="519"/>
      <c r="GV52" s="519"/>
      <c r="GW52" s="519"/>
      <c r="GX52" s="519"/>
      <c r="GY52" s="519"/>
      <c r="GZ52" s="519"/>
      <c r="HA52" s="519"/>
      <c r="HB52" s="519"/>
      <c r="HC52" s="519"/>
      <c r="HD52" s="519"/>
      <c r="HE52" s="519"/>
      <c r="HF52" s="519"/>
      <c r="HG52" s="519"/>
      <c r="HH52" s="519"/>
      <c r="HI52" s="519"/>
      <c r="HJ52" s="519"/>
      <c r="HK52" s="519"/>
      <c r="HL52" s="519"/>
      <c r="HM52" s="519"/>
      <c r="HN52" s="519"/>
      <c r="HO52" s="519"/>
      <c r="HP52" s="519"/>
      <c r="HQ52" s="519"/>
      <c r="HR52" s="519"/>
      <c r="HS52" s="519"/>
      <c r="HT52" s="519"/>
      <c r="HU52" s="519"/>
      <c r="HV52" s="519"/>
      <c r="HW52" s="519"/>
      <c r="HX52" s="519"/>
      <c r="HY52" s="519"/>
      <c r="HZ52" s="519"/>
      <c r="IA52" s="519"/>
      <c r="IB52" s="519"/>
      <c r="IC52" s="519"/>
      <c r="ID52" s="519"/>
      <c r="IE52" s="519"/>
      <c r="IF52" s="519"/>
      <c r="IG52" s="519"/>
      <c r="IH52" s="519"/>
      <c r="II52" s="519"/>
      <c r="IJ52" s="519"/>
      <c r="IK52" s="519"/>
      <c r="IL52" s="519"/>
      <c r="IM52" s="519"/>
      <c r="IN52" s="519"/>
      <c r="IO52" s="519"/>
      <c r="IP52" s="519"/>
      <c r="IQ52" s="519"/>
      <c r="IR52" s="519"/>
      <c r="IS52" s="519"/>
      <c r="IT52" s="519"/>
      <c r="IU52" s="519"/>
      <c r="IV52" s="519"/>
      <c r="IW52" s="519"/>
      <c r="IX52" s="519"/>
      <c r="IY52" s="519"/>
      <c r="IZ52" s="519"/>
      <c r="JA52" s="519"/>
      <c r="JB52" s="519"/>
    </row>
    <row r="53" spans="1:296" ht="14.45" customHeight="1">
      <c r="A53" s="14" t="s">
        <v>770</v>
      </c>
      <c r="B53" s="14" t="s">
        <v>553</v>
      </c>
      <c r="O53" s="87"/>
      <c r="R53" s="2073"/>
      <c r="S53" s="536"/>
      <c r="T53" s="536"/>
      <c r="U53" s="4" t="str">
        <f>B53</f>
        <v>UNIT SUMMARY</v>
      </c>
      <c r="V53" s="456" t="s">
        <v>553</v>
      </c>
      <c r="W53" s="531"/>
      <c r="X53" s="531"/>
      <c r="Y53" s="531"/>
      <c r="Z53" s="531"/>
      <c r="AA53" s="531"/>
      <c r="AB53" s="531"/>
      <c r="AC53" s="531"/>
      <c r="AD53" s="531"/>
      <c r="AE53" s="531"/>
      <c r="AF53" s="531"/>
      <c r="AG53" s="531"/>
      <c r="AH53" s="531"/>
      <c r="AI53" s="100"/>
      <c r="IL53" s="520"/>
      <c r="JA53" s="507"/>
    </row>
    <row r="54" spans="1:296" ht="3" customHeight="1">
      <c r="A54" s="14"/>
      <c r="B54" s="14"/>
      <c r="O54" s="87"/>
      <c r="R54" s="2074"/>
      <c r="S54" s="537"/>
      <c r="T54" s="537"/>
      <c r="U54" s="135"/>
      <c r="V54" s="456"/>
      <c r="W54" s="531"/>
      <c r="X54" s="531"/>
      <c r="Y54" s="531"/>
      <c r="Z54" s="531"/>
      <c r="AA54" s="531"/>
      <c r="AB54" s="531"/>
      <c r="AC54" s="531"/>
      <c r="AD54" s="531"/>
      <c r="AE54" s="531"/>
      <c r="AF54" s="531"/>
      <c r="AG54" s="531"/>
      <c r="AH54" s="531"/>
      <c r="AI54" s="100"/>
      <c r="IL54" s="520"/>
      <c r="JA54" s="507"/>
    </row>
    <row r="55" spans="1:296" ht="14.45" customHeight="1">
      <c r="A55" s="14"/>
      <c r="B55" s="14" t="s">
        <v>1177</v>
      </c>
      <c r="H55" s="87"/>
      <c r="I55" s="87"/>
      <c r="J55" s="129" t="s">
        <v>587</v>
      </c>
      <c r="K55" s="129" t="s">
        <v>554</v>
      </c>
      <c r="L55" s="129" t="s">
        <v>555</v>
      </c>
      <c r="M55" s="129" t="s">
        <v>556</v>
      </c>
      <c r="N55" s="129" t="s">
        <v>557</v>
      </c>
      <c r="O55" s="129" t="s">
        <v>558</v>
      </c>
      <c r="R55" s="2074"/>
      <c r="S55" s="537"/>
      <c r="T55" s="537"/>
      <c r="U55" s="1938" t="s">
        <v>1915</v>
      </c>
      <c r="V55" s="1938"/>
      <c r="W55" s="531"/>
      <c r="X55" s="531"/>
      <c r="Y55" s="531"/>
      <c r="Z55" s="531"/>
      <c r="AA55" s="531"/>
      <c r="AB55" s="1311"/>
      <c r="AC55" s="1311"/>
      <c r="AD55" s="1311"/>
      <c r="AE55" s="1311"/>
      <c r="AF55" s="1311"/>
      <c r="AG55" s="1311"/>
      <c r="AH55" s="531"/>
      <c r="AI55" s="100"/>
      <c r="IL55" s="520"/>
      <c r="JA55" s="507"/>
    </row>
    <row r="56" spans="1:296" ht="12" customHeight="1">
      <c r="C56" s="100" t="s">
        <v>1179</v>
      </c>
      <c r="D56" s="1"/>
      <c r="E56" s="1"/>
      <c r="F56" s="1"/>
      <c r="G56" s="87"/>
      <c r="H56" s="37" t="s">
        <v>1191</v>
      </c>
      <c r="I56" s="87"/>
      <c r="J56" s="1385">
        <f>W48</f>
        <v>3</v>
      </c>
      <c r="K56" s="1385">
        <f>X48</f>
        <v>205</v>
      </c>
      <c r="L56" s="1385">
        <f>Y48</f>
        <v>0</v>
      </c>
      <c r="M56" s="1385">
        <f>Z48</f>
        <v>0</v>
      </c>
      <c r="N56" s="1385">
        <f>AA48</f>
        <v>0</v>
      </c>
      <c r="O56" s="1385">
        <f t="shared" ref="O56:O62" si="263">SUM(J56:N56)</f>
        <v>208</v>
      </c>
      <c r="P56" s="2077" t="s">
        <v>4112</v>
      </c>
      <c r="Q56" s="1815"/>
      <c r="R56" s="457"/>
      <c r="S56" s="457"/>
      <c r="T56" s="457"/>
      <c r="U56" s="2743"/>
      <c r="V56" s="2744"/>
      <c r="W56" s="533"/>
      <c r="X56" s="533"/>
      <c r="Y56" s="533"/>
      <c r="Z56" s="533"/>
      <c r="AA56" s="54"/>
      <c r="AB56" s="757"/>
      <c r="AC56" s="757"/>
      <c r="AD56" s="757"/>
      <c r="AE56" s="757"/>
      <c r="AF56" s="757"/>
      <c r="AG56" s="757"/>
      <c r="AH56" s="54"/>
      <c r="AI56" s="100"/>
      <c r="IL56" s="520"/>
      <c r="JA56" s="507"/>
    </row>
    <row r="57" spans="1:296" ht="12" customHeight="1">
      <c r="A57" s="2084" t="s">
        <v>457</v>
      </c>
      <c r="B57" s="2084"/>
      <c r="C57" s="4"/>
      <c r="D57" s="1"/>
      <c r="E57" s="1"/>
      <c r="F57" s="1"/>
      <c r="G57" s="87"/>
      <c r="H57" s="37" t="s">
        <v>120</v>
      </c>
      <c r="I57" s="87"/>
      <c r="J57" s="801">
        <f>AB48</f>
        <v>0</v>
      </c>
      <c r="K57" s="801">
        <f>AC48</f>
        <v>0</v>
      </c>
      <c r="L57" s="801">
        <f>AD48</f>
        <v>0</v>
      </c>
      <c r="M57" s="801">
        <f>AE48</f>
        <v>0</v>
      </c>
      <c r="N57" s="801">
        <f>AF48</f>
        <v>0</v>
      </c>
      <c r="O57" s="801">
        <f t="shared" si="263"/>
        <v>0</v>
      </c>
      <c r="P57" s="2077"/>
      <c r="Q57" s="1815"/>
      <c r="R57" s="457"/>
      <c r="S57" s="457"/>
      <c r="T57" s="457"/>
      <c r="U57" s="2745"/>
      <c r="V57" s="2746"/>
      <c r="W57" s="10"/>
      <c r="X57" s="533"/>
      <c r="Y57" s="533"/>
      <c r="Z57" s="533"/>
      <c r="AA57" s="54"/>
      <c r="AB57" s="757"/>
      <c r="AC57" s="757"/>
      <c r="AD57" s="757"/>
      <c r="AE57" s="757"/>
      <c r="AF57" s="757"/>
      <c r="AG57" s="757"/>
      <c r="AH57" s="54"/>
      <c r="AI57" s="100"/>
      <c r="IL57" s="520"/>
      <c r="JA57" s="507"/>
    </row>
    <row r="58" spans="1:296" ht="12" customHeight="1">
      <c r="A58" s="2084"/>
      <c r="B58" s="2084"/>
      <c r="C58" s="4"/>
      <c r="D58" s="1"/>
      <c r="E58" s="1"/>
      <c r="F58" s="1"/>
      <c r="G58" s="87"/>
      <c r="H58" s="37" t="s">
        <v>558</v>
      </c>
      <c r="I58" s="87"/>
      <c r="J58" s="797">
        <f>SUM(J56:J57)</f>
        <v>3</v>
      </c>
      <c r="K58" s="797">
        <f>SUM(K56:K57)</f>
        <v>205</v>
      </c>
      <c r="L58" s="797">
        <f>SUM(L56:L57)</f>
        <v>0</v>
      </c>
      <c r="M58" s="797">
        <f>SUM(M56:M57)</f>
        <v>0</v>
      </c>
      <c r="N58" s="797">
        <f>SUM(N56:N57)</f>
        <v>0</v>
      </c>
      <c r="O58" s="797">
        <f t="shared" si="263"/>
        <v>208</v>
      </c>
      <c r="P58" s="2077"/>
      <c r="R58" s="457"/>
      <c r="S58" s="457"/>
      <c r="T58" s="457"/>
      <c r="U58" s="2745"/>
      <c r="V58" s="2746"/>
      <c r="W58" s="10"/>
      <c r="X58" s="533"/>
      <c r="Y58" s="533"/>
      <c r="Z58" s="533"/>
      <c r="AA58" s="54"/>
      <c r="AB58" s="757"/>
      <c r="AC58" s="757"/>
      <c r="AD58" s="757"/>
      <c r="AE58" s="757"/>
      <c r="AF58" s="757"/>
      <c r="AG58" s="757"/>
      <c r="AH58" s="54"/>
      <c r="AI58" s="100"/>
      <c r="IL58" s="520"/>
      <c r="JA58" s="507"/>
    </row>
    <row r="59" spans="1:296" ht="12" customHeight="1">
      <c r="A59" s="2084"/>
      <c r="B59" s="2084"/>
      <c r="C59" s="100" t="s">
        <v>316</v>
      </c>
      <c r="D59" s="1"/>
      <c r="E59" s="1"/>
      <c r="F59" s="1"/>
      <c r="G59" s="87"/>
      <c r="H59" s="37"/>
      <c r="I59" s="87"/>
      <c r="J59" s="798">
        <f>AL48</f>
        <v>0</v>
      </c>
      <c r="K59" s="798">
        <f>AM48</f>
        <v>0</v>
      </c>
      <c r="L59" s="798">
        <f>AN48</f>
        <v>0</v>
      </c>
      <c r="M59" s="798">
        <f>AO48</f>
        <v>0</v>
      </c>
      <c r="N59" s="798">
        <f>AP48</f>
        <v>0</v>
      </c>
      <c r="O59" s="798">
        <f t="shared" si="263"/>
        <v>0</v>
      </c>
      <c r="R59" s="457"/>
      <c r="S59" s="457"/>
      <c r="T59" s="457"/>
      <c r="U59" s="2745"/>
      <c r="V59" s="2746"/>
      <c r="W59" s="100"/>
      <c r="X59" s="533"/>
      <c r="Y59" s="533"/>
      <c r="Z59" s="533"/>
      <c r="AA59" s="54"/>
      <c r="AB59" s="757"/>
      <c r="AC59" s="757"/>
      <c r="AD59" s="757"/>
      <c r="AE59" s="757"/>
      <c r="AF59" s="757"/>
      <c r="AG59" s="757"/>
      <c r="AH59" s="467"/>
      <c r="AI59" s="100"/>
      <c r="IL59" s="520"/>
      <c r="JA59" s="507"/>
    </row>
    <row r="60" spans="1:296" ht="12" customHeight="1">
      <c r="A60" s="2084"/>
      <c r="B60" s="2084"/>
      <c r="C60" s="100" t="s">
        <v>1180</v>
      </c>
      <c r="D60" s="1"/>
      <c r="E60" s="1"/>
      <c r="F60" s="1"/>
      <c r="G60" s="87"/>
      <c r="H60" s="37"/>
      <c r="I60" s="87"/>
      <c r="J60" s="797">
        <f>SUM(J58:J59)</f>
        <v>3</v>
      </c>
      <c r="K60" s="797">
        <f>SUM(K58:K59)</f>
        <v>205</v>
      </c>
      <c r="L60" s="797">
        <f>SUM(L58:L59)</f>
        <v>0</v>
      </c>
      <c r="M60" s="797">
        <f>SUM(M58:M59)</f>
        <v>0</v>
      </c>
      <c r="N60" s="797">
        <f>SUM(N58:N59)</f>
        <v>0</v>
      </c>
      <c r="O60" s="797">
        <f t="shared" si="263"/>
        <v>208</v>
      </c>
      <c r="R60" s="457"/>
      <c r="S60" s="457"/>
      <c r="T60" s="457"/>
      <c r="U60" s="2745"/>
      <c r="V60" s="2746"/>
      <c r="W60" s="533"/>
      <c r="X60" s="533"/>
      <c r="Y60" s="533"/>
      <c r="Z60" s="533"/>
      <c r="AA60" s="54"/>
      <c r="AB60" s="757"/>
      <c r="AC60" s="757"/>
      <c r="AD60" s="757"/>
      <c r="AE60" s="757"/>
      <c r="AF60" s="757"/>
      <c r="AG60" s="757"/>
      <c r="AH60" s="467"/>
      <c r="AI60" s="100"/>
      <c r="IL60" s="520"/>
      <c r="JA60" s="507"/>
    </row>
    <row r="61" spans="1:296" ht="12" customHeight="1">
      <c r="A61" s="2084"/>
      <c r="B61" s="2084"/>
      <c r="C61" s="100" t="s">
        <v>2598</v>
      </c>
      <c r="D61" s="1"/>
      <c r="E61" s="1"/>
      <c r="F61" s="1"/>
      <c r="G61" s="87"/>
      <c r="H61" s="37"/>
      <c r="I61" s="87"/>
      <c r="J61" s="798">
        <f>BU48</f>
        <v>0</v>
      </c>
      <c r="K61" s="798">
        <f>BV48</f>
        <v>0</v>
      </c>
      <c r="L61" s="798">
        <f>BW48</f>
        <v>0</v>
      </c>
      <c r="M61" s="798">
        <f>BX48</f>
        <v>0</v>
      </c>
      <c r="N61" s="798">
        <f>BY48</f>
        <v>0</v>
      </c>
      <c r="O61" s="798">
        <f t="shared" si="263"/>
        <v>0</v>
      </c>
      <c r="P61" s="573" t="s">
        <v>4113</v>
      </c>
      <c r="R61" s="457"/>
      <c r="S61" s="457"/>
      <c r="T61" s="457"/>
      <c r="U61" s="2745"/>
      <c r="V61" s="2746"/>
      <c r="W61" s="533"/>
      <c r="X61" s="533"/>
      <c r="Y61" s="533"/>
      <c r="Z61" s="533"/>
      <c r="AA61" s="54"/>
      <c r="AB61" s="757"/>
      <c r="AC61" s="757"/>
      <c r="AD61" s="757"/>
      <c r="AE61" s="757"/>
      <c r="AF61" s="757"/>
      <c r="AG61" s="757"/>
      <c r="AH61" s="54"/>
      <c r="AI61" s="100"/>
      <c r="IL61" s="520"/>
      <c r="JA61" s="507"/>
    </row>
    <row r="62" spans="1:296" ht="12" customHeight="1">
      <c r="A62" s="2084"/>
      <c r="B62" s="2084"/>
      <c r="C62" s="100" t="s">
        <v>558</v>
      </c>
      <c r="D62" s="1"/>
      <c r="E62" s="1"/>
      <c r="F62" s="1"/>
      <c r="G62" s="87"/>
      <c r="H62" s="37"/>
      <c r="I62" s="87"/>
      <c r="J62" s="799">
        <f>SUM(J60:J61)</f>
        <v>3</v>
      </c>
      <c r="K62" s="799">
        <f>SUM(K60:K61)</f>
        <v>205</v>
      </c>
      <c r="L62" s="799">
        <f>SUM(L60:L61)</f>
        <v>0</v>
      </c>
      <c r="M62" s="799">
        <f>SUM(M60:M61)</f>
        <v>0</v>
      </c>
      <c r="N62" s="799">
        <f>SUM(N60:N61)</f>
        <v>0</v>
      </c>
      <c r="O62" s="799">
        <f t="shared" si="263"/>
        <v>208</v>
      </c>
      <c r="R62" s="457"/>
      <c r="S62" s="457"/>
      <c r="T62" s="457"/>
      <c r="U62" s="2748"/>
      <c r="V62" s="2749"/>
      <c r="W62" s="533"/>
      <c r="X62" s="533"/>
      <c r="Y62" s="533"/>
      <c r="Z62" s="533"/>
      <c r="AA62" s="54"/>
      <c r="AB62" s="757"/>
      <c r="AC62" s="757"/>
      <c r="AD62" s="757"/>
      <c r="AE62" s="757"/>
      <c r="AF62" s="757"/>
      <c r="AG62" s="757"/>
      <c r="AH62" s="531"/>
      <c r="AI62" s="100"/>
      <c r="IL62" s="520"/>
      <c r="JA62" s="507"/>
    </row>
    <row r="63" spans="1:296" ht="9" customHeight="1">
      <c r="A63" s="2084"/>
      <c r="B63" s="2084"/>
      <c r="C63" s="100"/>
      <c r="D63" s="1"/>
      <c r="E63" s="1"/>
      <c r="F63" s="1"/>
      <c r="G63" s="87"/>
      <c r="H63" s="37"/>
      <c r="I63" s="87"/>
      <c r="J63" s="800"/>
      <c r="K63" s="800"/>
      <c r="L63" s="800"/>
      <c r="M63" s="800"/>
      <c r="N63" s="800"/>
      <c r="O63" s="800"/>
      <c r="R63" s="457"/>
      <c r="S63" s="457"/>
      <c r="T63" s="457"/>
      <c r="U63" s="348" t="str">
        <f>C64</f>
        <v>PBRA-Assisted</v>
      </c>
      <c r="V63" s="164"/>
      <c r="W63" s="533"/>
      <c r="X63" s="533"/>
      <c r="Y63" s="533"/>
      <c r="Z63" s="533"/>
      <c r="AA63" s="54"/>
      <c r="AB63" s="533"/>
      <c r="AC63" s="533"/>
      <c r="AD63" s="533"/>
      <c r="AE63" s="533"/>
      <c r="AF63" s="533"/>
      <c r="AG63" s="533"/>
      <c r="AH63" s="531"/>
      <c r="AI63" s="100"/>
      <c r="IL63" s="520"/>
      <c r="JA63" s="507"/>
    </row>
    <row r="64" spans="1:296" ht="12" customHeight="1">
      <c r="A64" s="2084"/>
      <c r="B64" s="2084"/>
      <c r="C64" s="100" t="s">
        <v>967</v>
      </c>
      <c r="D64" s="1"/>
      <c r="E64" s="116"/>
      <c r="F64" s="1"/>
      <c r="G64" s="87"/>
      <c r="H64" s="37" t="s">
        <v>1191</v>
      </c>
      <c r="I64" s="87"/>
      <c r="J64" s="1385">
        <f>BA48</f>
        <v>3</v>
      </c>
      <c r="K64" s="1385">
        <f>BB48</f>
        <v>205</v>
      </c>
      <c r="L64" s="1385">
        <f>BC48</f>
        <v>0</v>
      </c>
      <c r="M64" s="1385">
        <f>BD48</f>
        <v>0</v>
      </c>
      <c r="N64" s="1385">
        <f>BE48</f>
        <v>0</v>
      </c>
      <c r="O64" s="1385">
        <f>SUM(J64:N64)</f>
        <v>208</v>
      </c>
      <c r="R64" s="457"/>
      <c r="S64" s="457"/>
      <c r="T64" s="457"/>
      <c r="U64" s="2743"/>
      <c r="V64" s="2744"/>
      <c r="W64" s="533"/>
      <c r="X64" s="533"/>
      <c r="Y64" s="109"/>
      <c r="Z64" s="533"/>
      <c r="AA64" s="54"/>
      <c r="AB64" s="757"/>
      <c r="AC64" s="757"/>
      <c r="AD64" s="757"/>
      <c r="AE64" s="757"/>
      <c r="AF64" s="757"/>
      <c r="AG64" s="757"/>
      <c r="AH64" s="54"/>
      <c r="AI64" s="100"/>
      <c r="IL64" s="520"/>
      <c r="JA64" s="507"/>
    </row>
    <row r="65" spans="1:261" ht="12" customHeight="1">
      <c r="A65" s="2084"/>
      <c r="B65" s="2084"/>
      <c r="C65" s="37" t="s">
        <v>2599</v>
      </c>
      <c r="D65" s="1"/>
      <c r="E65" s="116"/>
      <c r="F65" s="1"/>
      <c r="G65" s="87"/>
      <c r="H65" s="37" t="s">
        <v>120</v>
      </c>
      <c r="I65" s="87"/>
      <c r="J65" s="801">
        <f>AV48</f>
        <v>0</v>
      </c>
      <c r="K65" s="801">
        <f>AW48</f>
        <v>0</v>
      </c>
      <c r="L65" s="801">
        <f>AX48</f>
        <v>0</v>
      </c>
      <c r="M65" s="801">
        <f>AY48</f>
        <v>0</v>
      </c>
      <c r="N65" s="801">
        <f>AZ48</f>
        <v>0</v>
      </c>
      <c r="O65" s="801">
        <f>SUM(J65:N65)</f>
        <v>0</v>
      </c>
      <c r="R65" s="457"/>
      <c r="S65" s="457"/>
      <c r="T65" s="457"/>
      <c r="U65" s="2745"/>
      <c r="V65" s="2746"/>
      <c r="W65" s="54"/>
      <c r="X65" s="533"/>
      <c r="Y65" s="109"/>
      <c r="Z65" s="533"/>
      <c r="AA65" s="54"/>
      <c r="AB65" s="757"/>
      <c r="AC65" s="757"/>
      <c r="AD65" s="757"/>
      <c r="AE65" s="757"/>
      <c r="AF65" s="757"/>
      <c r="AG65" s="757"/>
      <c r="AH65" s="54"/>
      <c r="AI65" s="100"/>
      <c r="IL65" s="520"/>
      <c r="JA65" s="507"/>
    </row>
    <row r="66" spans="1:261" ht="12" customHeight="1">
      <c r="A66" s="2084"/>
      <c r="B66" s="2084"/>
      <c r="C66" s="4"/>
      <c r="D66" s="1"/>
      <c r="E66" s="116"/>
      <c r="F66" s="1"/>
      <c r="G66" s="87"/>
      <c r="H66" s="37" t="s">
        <v>558</v>
      </c>
      <c r="I66" s="87"/>
      <c r="J66" s="799">
        <f>SUM(J64:J65)</f>
        <v>3</v>
      </c>
      <c r="K66" s="799">
        <f>SUM(K64:K65)</f>
        <v>205</v>
      </c>
      <c r="L66" s="799">
        <f>SUM(L64:L65)</f>
        <v>0</v>
      </c>
      <c r="M66" s="799">
        <f>SUM(M64:M65)</f>
        <v>0</v>
      </c>
      <c r="N66" s="799">
        <f>SUM(N64:N65)</f>
        <v>0</v>
      </c>
      <c r="O66" s="799">
        <f>SUM(J66:N66)</f>
        <v>208</v>
      </c>
      <c r="R66" s="457"/>
      <c r="S66" s="457"/>
      <c r="T66" s="457"/>
      <c r="U66" s="2748"/>
      <c r="V66" s="2749"/>
      <c r="W66" s="10"/>
      <c r="X66" s="533"/>
      <c r="Y66" s="109"/>
      <c r="Z66" s="533"/>
      <c r="AA66" s="54"/>
      <c r="AB66" s="757"/>
      <c r="AC66" s="757"/>
      <c r="AD66" s="757"/>
      <c r="AE66" s="757"/>
      <c r="AF66" s="757"/>
      <c r="AG66" s="757"/>
      <c r="AH66" s="54"/>
      <c r="AI66" s="100"/>
      <c r="IL66" s="520"/>
      <c r="JA66" s="507"/>
    </row>
    <row r="67" spans="1:261" ht="9" customHeight="1">
      <c r="A67" s="2084"/>
      <c r="B67" s="2084"/>
      <c r="C67" s="1"/>
      <c r="D67" s="1"/>
      <c r="E67" s="1"/>
      <c r="F67" s="1"/>
      <c r="G67" s="87"/>
      <c r="H67" s="37"/>
      <c r="I67" s="87"/>
      <c r="J67" s="800"/>
      <c r="K67" s="800"/>
      <c r="L67" s="800"/>
      <c r="M67" s="800"/>
      <c r="N67" s="800"/>
      <c r="O67" s="800"/>
      <c r="R67" s="457"/>
      <c r="S67" s="457"/>
      <c r="T67" s="457"/>
      <c r="U67" s="348" t="str">
        <f>C68</f>
        <v>PHA Operating Subsidy-Assisted</v>
      </c>
      <c r="V67" s="164"/>
      <c r="W67" s="533"/>
      <c r="X67" s="533"/>
      <c r="Y67" s="533"/>
      <c r="Z67" s="533"/>
      <c r="AA67" s="54"/>
      <c r="AB67" s="533"/>
      <c r="AC67" s="533"/>
      <c r="AD67" s="533"/>
      <c r="AE67" s="533"/>
      <c r="AF67" s="533"/>
      <c r="AG67" s="533"/>
      <c r="AH67" s="531"/>
      <c r="AI67" s="100"/>
      <c r="IL67" s="520"/>
      <c r="JA67" s="507"/>
    </row>
    <row r="68" spans="1:261" ht="12" customHeight="1">
      <c r="A68" s="2084"/>
      <c r="B68" s="2084"/>
      <c r="C68" s="2085" t="s">
        <v>923</v>
      </c>
      <c r="D68" s="2085"/>
      <c r="E68" s="2085"/>
      <c r="F68" s="1"/>
      <c r="G68" s="87"/>
      <c r="H68" s="37" t="s">
        <v>1191</v>
      </c>
      <c r="I68" s="87"/>
      <c r="J68" s="1385">
        <f>BP48</f>
        <v>0</v>
      </c>
      <c r="K68" s="1385">
        <f>BQ48</f>
        <v>0</v>
      </c>
      <c r="L68" s="1385">
        <f>BR48</f>
        <v>0</v>
      </c>
      <c r="M68" s="1385">
        <f>BS48</f>
        <v>0</v>
      </c>
      <c r="N68" s="1385">
        <f>BT48</f>
        <v>0</v>
      </c>
      <c r="O68" s="1385">
        <f>SUM(J68:N68)</f>
        <v>0</v>
      </c>
      <c r="R68" s="457"/>
      <c r="S68" s="457"/>
      <c r="T68" s="457"/>
      <c r="U68" s="2743"/>
      <c r="V68" s="2744"/>
      <c r="W68" s="100"/>
      <c r="X68" s="533"/>
      <c r="Y68" s="109"/>
      <c r="Z68" s="533"/>
      <c r="AA68" s="54"/>
      <c r="AB68" s="757"/>
      <c r="AC68" s="757"/>
      <c r="AD68" s="757"/>
      <c r="AE68" s="757"/>
      <c r="AF68" s="757"/>
      <c r="AG68" s="757"/>
      <c r="AH68" s="54"/>
      <c r="AI68" s="100"/>
      <c r="IL68" s="520"/>
      <c r="JA68" s="507"/>
    </row>
    <row r="69" spans="1:261" ht="12" customHeight="1">
      <c r="A69" s="2084"/>
      <c r="B69" s="2084"/>
      <c r="C69" s="2085"/>
      <c r="D69" s="2085"/>
      <c r="E69" s="2085"/>
      <c r="F69" s="1"/>
      <c r="G69" s="87"/>
      <c r="H69" s="37" t="s">
        <v>120</v>
      </c>
      <c r="I69" s="87"/>
      <c r="J69" s="801">
        <f>BK48</f>
        <v>0</v>
      </c>
      <c r="K69" s="801">
        <f>BL48</f>
        <v>0</v>
      </c>
      <c r="L69" s="801">
        <f>BM48</f>
        <v>0</v>
      </c>
      <c r="M69" s="801">
        <f>BN48</f>
        <v>0</v>
      </c>
      <c r="N69" s="801">
        <f>BO48</f>
        <v>0</v>
      </c>
      <c r="O69" s="801">
        <f>SUM(J69:N69)</f>
        <v>0</v>
      </c>
      <c r="R69" s="457"/>
      <c r="S69" s="457"/>
      <c r="T69" s="457"/>
      <c r="U69" s="2745"/>
      <c r="V69" s="2746"/>
      <c r="W69" s="37"/>
      <c r="X69" s="533"/>
      <c r="Y69" s="109"/>
      <c r="Z69" s="533"/>
      <c r="AA69" s="54"/>
      <c r="AB69" s="757"/>
      <c r="AC69" s="757"/>
      <c r="AD69" s="757"/>
      <c r="AE69" s="757"/>
      <c r="AF69" s="757"/>
      <c r="AG69" s="757"/>
      <c r="AH69" s="54"/>
      <c r="AI69" s="100"/>
      <c r="IL69" s="520"/>
      <c r="JA69" s="507"/>
    </row>
    <row r="70" spans="1:261" ht="12" customHeight="1">
      <c r="A70" s="2084"/>
      <c r="B70" s="2084"/>
      <c r="C70" s="37" t="s">
        <v>2599</v>
      </c>
      <c r="D70" s="1"/>
      <c r="E70" s="116"/>
      <c r="F70" s="1"/>
      <c r="G70" s="87"/>
      <c r="H70" s="37" t="s">
        <v>558</v>
      </c>
      <c r="I70" s="87"/>
      <c r="J70" s="799">
        <f>SUM(J68:J69)</f>
        <v>0</v>
      </c>
      <c r="K70" s="799">
        <f>SUM(K68:K69)</f>
        <v>0</v>
      </c>
      <c r="L70" s="799">
        <f>SUM(L68:L69)</f>
        <v>0</v>
      </c>
      <c r="M70" s="799">
        <f>SUM(M68:M69)</f>
        <v>0</v>
      </c>
      <c r="N70" s="799">
        <f>SUM(N68:N69)</f>
        <v>0</v>
      </c>
      <c r="O70" s="799">
        <f>SUM(J70:N70)</f>
        <v>0</v>
      </c>
      <c r="R70" s="457"/>
      <c r="S70" s="457"/>
      <c r="T70" s="457"/>
      <c r="U70" s="2748"/>
      <c r="V70" s="2749"/>
      <c r="W70" s="10"/>
      <c r="X70" s="533"/>
      <c r="Y70" s="109"/>
      <c r="Z70" s="533"/>
      <c r="AA70" s="54"/>
      <c r="AB70" s="757"/>
      <c r="AC70" s="757"/>
      <c r="AD70" s="757"/>
      <c r="AE70" s="757"/>
      <c r="AF70" s="757"/>
      <c r="AG70" s="757"/>
      <c r="AH70" s="54"/>
      <c r="AI70" s="100"/>
      <c r="IL70" s="520"/>
      <c r="JA70" s="507"/>
    </row>
    <row r="71" spans="1:261" ht="9" customHeight="1">
      <c r="A71" s="2084"/>
      <c r="B71" s="2084"/>
      <c r="D71" s="809"/>
      <c r="E71" s="116"/>
      <c r="F71" s="1"/>
      <c r="G71" s="87"/>
      <c r="H71" s="37"/>
      <c r="I71" s="87"/>
      <c r="J71" s="800"/>
      <c r="K71" s="800"/>
      <c r="L71" s="800"/>
      <c r="M71" s="800"/>
      <c r="N71" s="800"/>
      <c r="O71" s="800"/>
      <c r="R71" s="457"/>
      <c r="S71" s="457"/>
      <c r="T71" s="457"/>
      <c r="U71" s="348" t="str">
        <f>C72</f>
        <v>Type of Construction Activity</v>
      </c>
      <c r="V71" s="164"/>
      <c r="W71" s="533"/>
      <c r="X71" s="533"/>
      <c r="Y71" s="109"/>
      <c r="Z71" s="533"/>
      <c r="AA71" s="54"/>
      <c r="AB71" s="533"/>
      <c r="AC71" s="533"/>
      <c r="AD71" s="533"/>
      <c r="AE71" s="533"/>
      <c r="AF71" s="533"/>
      <c r="AG71" s="533"/>
      <c r="AH71" s="531"/>
      <c r="AI71" s="100"/>
      <c r="IL71" s="520"/>
      <c r="JA71" s="507"/>
    </row>
    <row r="72" spans="1:261" ht="12" customHeight="1">
      <c r="A72" s="2084"/>
      <c r="B72" s="2084"/>
      <c r="C72" s="2057" t="s">
        <v>40</v>
      </c>
      <c r="D72" s="2057"/>
      <c r="E72" s="109" t="s">
        <v>2375</v>
      </c>
      <c r="F72" s="1"/>
      <c r="G72" s="87"/>
      <c r="H72" s="37" t="s">
        <v>1486</v>
      </c>
      <c r="I72" s="87"/>
      <c r="J72" s="797">
        <f>DD48</f>
        <v>0</v>
      </c>
      <c r="K72" s="797">
        <f>DE48</f>
        <v>0</v>
      </c>
      <c r="L72" s="797">
        <f>DF48</f>
        <v>0</v>
      </c>
      <c r="M72" s="797">
        <f>DG48</f>
        <v>0</v>
      </c>
      <c r="N72" s="797">
        <f>DH48</f>
        <v>0</v>
      </c>
      <c r="O72" s="797">
        <f t="shared" ref="O72:O82" si="264">SUM(J72:N72)</f>
        <v>0</v>
      </c>
      <c r="R72" s="457"/>
      <c r="S72" s="457"/>
      <c r="T72" s="457"/>
      <c r="U72" s="2843"/>
      <c r="V72" s="2844"/>
      <c r="W72" s="533"/>
      <c r="X72" s="533"/>
      <c r="Y72" s="109"/>
      <c r="Z72" s="533"/>
      <c r="AA72" s="54"/>
      <c r="AB72" s="757"/>
      <c r="AC72" s="757"/>
      <c r="AD72" s="757"/>
      <c r="AE72" s="757"/>
      <c r="AF72" s="757"/>
      <c r="AG72" s="757"/>
      <c r="AH72" s="531"/>
      <c r="GT72" s="507"/>
      <c r="GY72" s="507"/>
      <c r="GZ72" s="507"/>
      <c r="HA72" s="507"/>
      <c r="HB72" s="507"/>
      <c r="HC72" s="507"/>
      <c r="HD72" s="507"/>
      <c r="HE72" s="507"/>
      <c r="HF72" s="507"/>
      <c r="HG72" s="507"/>
      <c r="HH72" s="507"/>
      <c r="HI72" s="507"/>
      <c r="HJ72" s="507"/>
      <c r="HK72" s="507"/>
      <c r="HL72" s="507"/>
      <c r="HM72" s="507"/>
      <c r="HN72" s="507"/>
      <c r="HO72" s="507"/>
      <c r="HP72" s="507"/>
      <c r="HQ72" s="507"/>
      <c r="HR72" s="507"/>
      <c r="HS72" s="507"/>
      <c r="HT72" s="507"/>
      <c r="HU72" s="507"/>
      <c r="HV72" s="507"/>
      <c r="HW72" s="507"/>
      <c r="HX72" s="507"/>
      <c r="HY72" s="507"/>
      <c r="HZ72" s="507"/>
      <c r="IA72" s="507"/>
      <c r="IB72" s="507"/>
      <c r="IC72" s="507"/>
      <c r="ID72" s="507"/>
      <c r="IL72" s="520"/>
      <c r="JA72" s="507"/>
    </row>
    <row r="73" spans="1:261" ht="12" customHeight="1">
      <c r="A73" s="2084"/>
      <c r="B73" s="2084"/>
      <c r="C73" s="2057"/>
      <c r="D73" s="2057"/>
      <c r="E73" s="116"/>
      <c r="F73" s="1"/>
      <c r="G73" s="87"/>
      <c r="H73" s="37" t="s">
        <v>316</v>
      </c>
      <c r="I73" s="87"/>
      <c r="J73" s="798">
        <f>DI48</f>
        <v>0</v>
      </c>
      <c r="K73" s="798">
        <f>DJ48</f>
        <v>0</v>
      </c>
      <c r="L73" s="798">
        <f>DK48</f>
        <v>0</v>
      </c>
      <c r="M73" s="798">
        <f>DL48</f>
        <v>0</v>
      </c>
      <c r="N73" s="798">
        <f>DM48</f>
        <v>0</v>
      </c>
      <c r="O73" s="798">
        <f t="shared" si="264"/>
        <v>0</v>
      </c>
      <c r="R73" s="457"/>
      <c r="S73" s="457"/>
      <c r="T73" s="457"/>
      <c r="U73" s="2845"/>
      <c r="V73" s="2846"/>
      <c r="W73" s="533"/>
      <c r="X73" s="533"/>
      <c r="Y73" s="109"/>
      <c r="Z73" s="533"/>
      <c r="AA73" s="54"/>
      <c r="AB73" s="757"/>
      <c r="AC73" s="757"/>
      <c r="AD73" s="757"/>
      <c r="AE73" s="757"/>
      <c r="AF73" s="757"/>
      <c r="AG73" s="757"/>
      <c r="AH73" s="467"/>
      <c r="AI73" s="100"/>
      <c r="IL73" s="520"/>
      <c r="JA73" s="507"/>
    </row>
    <row r="74" spans="1:261" ht="12" customHeight="1">
      <c r="A74" s="2084"/>
      <c r="B74" s="2084"/>
      <c r="C74" s="2057"/>
      <c r="D74" s="2057"/>
      <c r="E74" s="116"/>
      <c r="F74" s="1"/>
      <c r="G74" s="87"/>
      <c r="H74" s="37" t="s">
        <v>33</v>
      </c>
      <c r="I74" s="87"/>
      <c r="J74" s="799">
        <f>SUM(J72:J73)+DN48</f>
        <v>0</v>
      </c>
      <c r="K74" s="799">
        <f>SUM(K72:K73)+DO48</f>
        <v>0</v>
      </c>
      <c r="L74" s="799">
        <f>SUM(L72:L73)+DP48</f>
        <v>0</v>
      </c>
      <c r="M74" s="799">
        <f>SUM(M72:M73)+DQ48</f>
        <v>0</v>
      </c>
      <c r="N74" s="799">
        <f>SUM(N72:N73)+DR48</f>
        <v>0</v>
      </c>
      <c r="O74" s="799">
        <f t="shared" si="264"/>
        <v>0</v>
      </c>
      <c r="R74" s="457"/>
      <c r="S74" s="457"/>
      <c r="T74" s="457"/>
      <c r="U74" s="2845"/>
      <c r="V74" s="2846"/>
      <c r="W74" s="10"/>
      <c r="X74" s="533"/>
      <c r="Y74" s="109"/>
      <c r="Z74" s="533"/>
      <c r="AA74" s="37"/>
      <c r="AB74" s="757"/>
      <c r="AC74" s="757"/>
      <c r="AD74" s="757"/>
      <c r="AE74" s="757"/>
      <c r="AF74" s="757"/>
      <c r="AG74" s="757"/>
      <c r="AH74" s="54"/>
      <c r="AI74" s="100"/>
      <c r="IL74" s="520"/>
      <c r="JA74" s="507"/>
    </row>
    <row r="75" spans="1:261" ht="12" customHeight="1">
      <c r="A75" s="2084"/>
      <c r="B75" s="2084"/>
      <c r="C75" s="2057"/>
      <c r="D75" s="2057"/>
      <c r="E75" s="109" t="s">
        <v>2215</v>
      </c>
      <c r="F75" s="1"/>
      <c r="G75" s="87"/>
      <c r="H75" s="37" t="s">
        <v>1486</v>
      </c>
      <c r="I75" s="87"/>
      <c r="J75" s="797">
        <f>DS48</f>
        <v>3</v>
      </c>
      <c r="K75" s="797">
        <f>DT48</f>
        <v>205</v>
      </c>
      <c r="L75" s="797">
        <f>DU48</f>
        <v>0</v>
      </c>
      <c r="M75" s="797">
        <f>DV48</f>
        <v>0</v>
      </c>
      <c r="N75" s="797">
        <f>DW48</f>
        <v>0</v>
      </c>
      <c r="O75" s="797">
        <f t="shared" si="264"/>
        <v>208</v>
      </c>
      <c r="R75" s="457"/>
      <c r="S75" s="457"/>
      <c r="T75" s="457"/>
      <c r="U75" s="2845"/>
      <c r="V75" s="2846"/>
      <c r="W75" s="533"/>
      <c r="X75" s="533"/>
      <c r="Y75" s="109"/>
      <c r="Z75" s="533"/>
      <c r="AA75" s="54"/>
      <c r="AB75" s="757"/>
      <c r="AC75" s="757"/>
      <c r="AD75" s="757"/>
      <c r="AE75" s="757"/>
      <c r="AF75" s="757"/>
      <c r="AG75" s="757"/>
      <c r="AH75" s="531"/>
      <c r="GT75" s="507"/>
      <c r="GY75" s="507"/>
      <c r="GZ75" s="507"/>
      <c r="HA75" s="507"/>
      <c r="HB75" s="507"/>
      <c r="HC75" s="507"/>
      <c r="HD75" s="507"/>
      <c r="HE75" s="507"/>
      <c r="HF75" s="507"/>
      <c r="HG75" s="507"/>
      <c r="HH75" s="507"/>
      <c r="HI75" s="507"/>
      <c r="HJ75" s="507"/>
      <c r="HK75" s="507"/>
      <c r="HL75" s="507"/>
      <c r="HM75" s="507"/>
      <c r="HN75" s="507"/>
      <c r="HO75" s="507"/>
      <c r="HP75" s="507"/>
      <c r="HQ75" s="507"/>
      <c r="HR75" s="507"/>
      <c r="HS75" s="507"/>
      <c r="HT75" s="507"/>
      <c r="HU75" s="507"/>
      <c r="HV75" s="507"/>
      <c r="HW75" s="507"/>
      <c r="HX75" s="507"/>
      <c r="HY75" s="507"/>
      <c r="HZ75" s="507"/>
      <c r="IA75" s="507"/>
      <c r="IB75" s="507"/>
      <c r="IC75" s="507"/>
      <c r="ID75" s="507"/>
      <c r="IL75" s="520"/>
      <c r="JA75" s="507"/>
    </row>
    <row r="76" spans="1:261" ht="12" customHeight="1">
      <c r="A76" s="2084"/>
      <c r="B76" s="2084"/>
      <c r="C76" s="2057"/>
      <c r="D76" s="2057"/>
      <c r="E76" s="116"/>
      <c r="F76" s="1"/>
      <c r="G76" s="87"/>
      <c r="H76" s="37" t="s">
        <v>316</v>
      </c>
      <c r="I76" s="87"/>
      <c r="J76" s="798">
        <f>DX48</f>
        <v>0</v>
      </c>
      <c r="K76" s="798">
        <f>DY48</f>
        <v>0</v>
      </c>
      <c r="L76" s="798">
        <f>DZ48</f>
        <v>0</v>
      </c>
      <c r="M76" s="798">
        <f>EA48</f>
        <v>0</v>
      </c>
      <c r="N76" s="798">
        <f>EB48</f>
        <v>0</v>
      </c>
      <c r="O76" s="798">
        <f t="shared" si="264"/>
        <v>0</v>
      </c>
      <c r="R76" s="457"/>
      <c r="S76" s="457"/>
      <c r="T76" s="457"/>
      <c r="U76" s="2845"/>
      <c r="V76" s="2846"/>
      <c r="W76" s="533"/>
      <c r="X76" s="533"/>
      <c r="Y76" s="109"/>
      <c r="Z76" s="533"/>
      <c r="AA76" s="54"/>
      <c r="AB76" s="757"/>
      <c r="AC76" s="757"/>
      <c r="AD76" s="757"/>
      <c r="AE76" s="757"/>
      <c r="AF76" s="757"/>
      <c r="AG76" s="757"/>
      <c r="AH76" s="467"/>
      <c r="AI76" s="100"/>
      <c r="IL76" s="520"/>
      <c r="JA76" s="507"/>
    </row>
    <row r="77" spans="1:261" ht="12" customHeight="1">
      <c r="A77" s="2084"/>
      <c r="B77" s="2084"/>
      <c r="C77" s="2057"/>
      <c r="D77" s="2057"/>
      <c r="E77" s="116"/>
      <c r="F77" s="1"/>
      <c r="G77" s="87"/>
      <c r="H77" s="37" t="s">
        <v>33</v>
      </c>
      <c r="I77" s="87"/>
      <c r="J77" s="799">
        <f>SUM(J75:J76)+EC48</f>
        <v>3</v>
      </c>
      <c r="K77" s="799">
        <f>SUM(K75:K76)+ED48</f>
        <v>205</v>
      </c>
      <c r="L77" s="799">
        <f>SUM(L75:L76)+EE48</f>
        <v>0</v>
      </c>
      <c r="M77" s="799">
        <f>SUM(M75:M76)+EF48</f>
        <v>0</v>
      </c>
      <c r="N77" s="799">
        <f>SUM(N75:N76)+EG48</f>
        <v>0</v>
      </c>
      <c r="O77" s="799">
        <f t="shared" si="264"/>
        <v>208</v>
      </c>
      <c r="R77" s="457"/>
      <c r="S77" s="457"/>
      <c r="T77" s="457"/>
      <c r="U77" s="2845"/>
      <c r="V77" s="2846"/>
      <c r="W77" s="10"/>
      <c r="X77" s="533"/>
      <c r="Y77" s="109"/>
      <c r="Z77" s="533"/>
      <c r="AA77" s="37"/>
      <c r="AB77" s="757"/>
      <c r="AC77" s="757"/>
      <c r="AD77" s="757"/>
      <c r="AE77" s="757"/>
      <c r="AF77" s="757"/>
      <c r="AG77" s="757"/>
      <c r="AH77" s="54"/>
      <c r="AI77" s="100"/>
      <c r="IL77" s="520"/>
      <c r="JA77" s="507"/>
    </row>
    <row r="78" spans="1:261" ht="12" customHeight="1">
      <c r="A78" s="2084"/>
      <c r="B78" s="2084"/>
      <c r="C78" s="1307"/>
      <c r="D78" s="1"/>
      <c r="E78" s="2075" t="s">
        <v>1473</v>
      </c>
      <c r="F78" s="2075"/>
      <c r="G78" s="87"/>
      <c r="H78" s="37" t="s">
        <v>1486</v>
      </c>
      <c r="I78" s="87"/>
      <c r="J78" s="797">
        <f>EH48</f>
        <v>0</v>
      </c>
      <c r="K78" s="797">
        <f>EI48</f>
        <v>0</v>
      </c>
      <c r="L78" s="797">
        <f>EJ48</f>
        <v>0</v>
      </c>
      <c r="M78" s="797">
        <f>EK48</f>
        <v>0</v>
      </c>
      <c r="N78" s="797">
        <f>EL48</f>
        <v>0</v>
      </c>
      <c r="O78" s="797">
        <f t="shared" si="264"/>
        <v>0</v>
      </c>
      <c r="R78" s="457"/>
      <c r="S78" s="457"/>
      <c r="T78" s="457"/>
      <c r="U78" s="2845"/>
      <c r="V78" s="2846"/>
      <c r="W78" s="533"/>
      <c r="X78" s="533"/>
      <c r="Y78" s="109"/>
      <c r="Z78" s="533"/>
      <c r="AA78" s="54"/>
      <c r="AB78" s="757"/>
      <c r="AC78" s="757"/>
      <c r="AD78" s="757"/>
      <c r="AE78" s="757"/>
      <c r="AF78" s="757"/>
      <c r="AG78" s="757"/>
      <c r="AH78" s="531"/>
      <c r="GT78" s="507"/>
      <c r="GY78" s="507"/>
      <c r="GZ78" s="507"/>
      <c r="HA78" s="507"/>
      <c r="HB78" s="507"/>
      <c r="HC78" s="507"/>
      <c r="HD78" s="507"/>
      <c r="HE78" s="507"/>
      <c r="HF78" s="507"/>
      <c r="HG78" s="507"/>
      <c r="HH78" s="507"/>
      <c r="HI78" s="507"/>
      <c r="HJ78" s="507"/>
      <c r="HK78" s="507"/>
      <c r="HL78" s="507"/>
      <c r="HM78" s="507"/>
      <c r="HN78" s="507"/>
      <c r="HO78" s="507"/>
      <c r="HP78" s="507"/>
      <c r="HQ78" s="507"/>
      <c r="HR78" s="507"/>
      <c r="HS78" s="507"/>
      <c r="HT78" s="507"/>
      <c r="HU78" s="507"/>
      <c r="HV78" s="507"/>
      <c r="HW78" s="507"/>
      <c r="HX78" s="507"/>
      <c r="HY78" s="507"/>
      <c r="HZ78" s="507"/>
      <c r="IA78" s="507"/>
      <c r="IB78" s="507"/>
      <c r="IC78" s="507"/>
      <c r="ID78" s="507"/>
      <c r="IL78" s="520"/>
      <c r="JA78" s="507"/>
    </row>
    <row r="79" spans="1:261" ht="12" customHeight="1">
      <c r="A79" s="2084"/>
      <c r="B79" s="2084"/>
      <c r="C79" s="1307"/>
      <c r="D79" s="1"/>
      <c r="E79" s="2075"/>
      <c r="F79" s="2075"/>
      <c r="G79" s="87"/>
      <c r="H79" s="37" t="s">
        <v>316</v>
      </c>
      <c r="I79" s="87"/>
      <c r="J79" s="798">
        <f>EM48</f>
        <v>0</v>
      </c>
      <c r="K79" s="798">
        <f>EN48</f>
        <v>0</v>
      </c>
      <c r="L79" s="798">
        <f>EO48</f>
        <v>0</v>
      </c>
      <c r="M79" s="798">
        <f>EP48</f>
        <v>0</v>
      </c>
      <c r="N79" s="798">
        <f>EQ48</f>
        <v>0</v>
      </c>
      <c r="O79" s="798">
        <f t="shared" si="264"/>
        <v>0</v>
      </c>
      <c r="R79" s="457"/>
      <c r="S79" s="457"/>
      <c r="T79" s="457"/>
      <c r="U79" s="2845"/>
      <c r="V79" s="2846"/>
      <c r="W79" s="533"/>
      <c r="X79" s="533"/>
      <c r="Y79" s="533"/>
      <c r="Z79" s="533"/>
      <c r="AA79" s="54"/>
      <c r="AB79" s="757"/>
      <c r="AC79" s="757"/>
      <c r="AD79" s="757"/>
      <c r="AE79" s="757"/>
      <c r="AF79" s="757"/>
      <c r="AG79" s="757"/>
      <c r="AH79" s="467"/>
      <c r="AI79" s="100"/>
      <c r="IL79" s="520"/>
      <c r="JA79" s="507"/>
    </row>
    <row r="80" spans="1:261" ht="12" customHeight="1">
      <c r="A80" s="2084"/>
      <c r="B80" s="2084"/>
      <c r="C80" s="1307"/>
      <c r="D80" s="1"/>
      <c r="E80" s="116"/>
      <c r="F80" s="1"/>
      <c r="G80" s="87"/>
      <c r="H80" s="37" t="s">
        <v>33</v>
      </c>
      <c r="I80" s="87"/>
      <c r="J80" s="799">
        <f>SUM(J78:J79)+ER48</f>
        <v>0</v>
      </c>
      <c r="K80" s="799">
        <f>SUM(K78:K79)+ES48</f>
        <v>0</v>
      </c>
      <c r="L80" s="799">
        <f>SUM(L78:L79)+ET48</f>
        <v>0</v>
      </c>
      <c r="M80" s="799">
        <f>SUM(M78:M79)+EU48</f>
        <v>0</v>
      </c>
      <c r="N80" s="799">
        <f>SUM(N78:N79)+EV48</f>
        <v>0</v>
      </c>
      <c r="O80" s="799">
        <f t="shared" si="264"/>
        <v>0</v>
      </c>
      <c r="R80" s="457"/>
      <c r="S80" s="457"/>
      <c r="T80" s="457"/>
      <c r="U80" s="2845"/>
      <c r="V80" s="2846"/>
      <c r="W80" s="10"/>
      <c r="X80" s="533"/>
      <c r="Y80" s="109"/>
      <c r="Z80" s="533"/>
      <c r="AA80" s="37"/>
      <c r="AB80" s="757"/>
      <c r="AC80" s="757"/>
      <c r="AD80" s="757"/>
      <c r="AE80" s="757"/>
      <c r="AF80" s="757"/>
      <c r="AG80" s="757"/>
      <c r="AH80" s="54"/>
      <c r="AI80" s="100"/>
      <c r="IL80" s="520"/>
      <c r="JA80" s="507"/>
    </row>
    <row r="81" spans="1:261" ht="12" customHeight="1">
      <c r="A81" s="2084"/>
      <c r="B81" s="2084"/>
      <c r="C81" s="1307"/>
      <c r="D81" s="1"/>
      <c r="E81" s="116" t="s">
        <v>379</v>
      </c>
      <c r="F81" s="1"/>
      <c r="G81" s="188"/>
      <c r="H81" s="87"/>
      <c r="I81" s="87"/>
      <c r="J81" s="2847"/>
      <c r="K81" s="2847"/>
      <c r="L81" s="2847"/>
      <c r="M81" s="2847"/>
      <c r="N81" s="2847"/>
      <c r="O81" s="797">
        <f t="shared" si="264"/>
        <v>0</v>
      </c>
      <c r="U81" s="2845"/>
      <c r="V81" s="2846"/>
      <c r="W81" s="533"/>
      <c r="X81" s="533"/>
      <c r="Y81" s="533"/>
      <c r="Z81" s="533"/>
      <c r="AA81" s="54"/>
      <c r="AB81" s="757"/>
      <c r="AC81" s="757"/>
      <c r="AD81" s="757"/>
      <c r="AE81" s="757"/>
      <c r="AF81" s="757"/>
      <c r="AG81" s="757"/>
      <c r="AH81" s="467"/>
      <c r="AI81" s="100"/>
      <c r="IL81" s="520"/>
      <c r="JA81" s="507"/>
    </row>
    <row r="82" spans="1:261" ht="12" customHeight="1">
      <c r="A82" s="2076" t="str">
        <f>IF(AND('Part IV-Uses of Funds'!$T$164="Yes",'Part IX A-Scoring Criteria'!$O$314&gt;0,O82&lt;1),"SHOW HISTORIC UNITS HERE &gt;&gt;&gt;&gt;","")</f>
        <v/>
      </c>
      <c r="B82" s="2076"/>
      <c r="C82" s="2076"/>
      <c r="D82" s="2076"/>
      <c r="E82" s="568" t="s">
        <v>3610</v>
      </c>
      <c r="F82" s="1"/>
      <c r="G82" s="188"/>
      <c r="H82" s="87"/>
      <c r="I82" s="87"/>
      <c r="J82" s="2848"/>
      <c r="K82" s="2848"/>
      <c r="L82" s="2848"/>
      <c r="M82" s="2848"/>
      <c r="N82" s="2848"/>
      <c r="O82" s="798">
        <f t="shared" si="264"/>
        <v>0</v>
      </c>
      <c r="U82" s="2845"/>
      <c r="V82" s="2846"/>
      <c r="W82" s="533"/>
      <c r="X82" s="533"/>
      <c r="Y82" s="533"/>
      <c r="Z82" s="533"/>
      <c r="AA82" s="54"/>
      <c r="AB82" s="757"/>
      <c r="AC82" s="757"/>
      <c r="AD82" s="757"/>
      <c r="AE82" s="757"/>
      <c r="AF82" s="757"/>
      <c r="AG82" s="757"/>
      <c r="AH82" s="467"/>
      <c r="AI82" s="100"/>
      <c r="IL82" s="520"/>
      <c r="JA82" s="507"/>
    </row>
    <row r="83" spans="1:261" ht="9" customHeight="1">
      <c r="A83" s="1808"/>
      <c r="B83" s="1808"/>
      <c r="C83" s="1808"/>
      <c r="D83" s="1808"/>
      <c r="E83" s="568"/>
      <c r="F83" s="1"/>
      <c r="G83" s="188"/>
      <c r="H83" s="87"/>
      <c r="I83" s="87"/>
      <c r="J83" s="37"/>
      <c r="K83" s="37"/>
      <c r="L83" s="37"/>
      <c r="M83" s="37"/>
      <c r="N83" s="37"/>
      <c r="O83" s="37"/>
      <c r="U83" s="2845"/>
      <c r="V83" s="2846"/>
      <c r="W83" s="533"/>
      <c r="X83" s="533"/>
      <c r="Y83" s="533"/>
      <c r="Z83" s="533"/>
      <c r="AA83" s="54"/>
      <c r="AB83" s="757"/>
      <c r="AC83" s="757"/>
      <c r="AD83" s="757"/>
      <c r="AE83" s="757"/>
      <c r="AF83" s="757"/>
      <c r="AG83" s="757"/>
      <c r="AH83" s="467"/>
      <c r="AI83" s="100"/>
      <c r="IL83" s="520"/>
      <c r="JA83" s="507"/>
    </row>
    <row r="84" spans="1:261" ht="12" customHeight="1">
      <c r="A84" s="1808"/>
      <c r="B84" s="1808"/>
      <c r="C84" s="1808"/>
      <c r="D84" s="1808"/>
      <c r="E84" s="116" t="s">
        <v>3545</v>
      </c>
      <c r="F84" s="1"/>
      <c r="G84" s="188"/>
      <c r="H84" s="87"/>
      <c r="I84" s="87"/>
      <c r="J84" s="810">
        <f>J88+J90+J92+J94+J96+J98+J100+J102</f>
        <v>0</v>
      </c>
      <c r="K84" s="810">
        <f>K88+K90+K92+K94+K96+K98+K100+K102</f>
        <v>0</v>
      </c>
      <c r="L84" s="810">
        <f>L88+L90+L92+L94+L96+L98+L100+L102</f>
        <v>0</v>
      </c>
      <c r="M84" s="810">
        <f>M88+M90+M92+M94+M96+M98+M100+M102</f>
        <v>0</v>
      </c>
      <c r="N84" s="810">
        <f>N88+N90+N92+N94+N96+N98+N100+N102</f>
        <v>0</v>
      </c>
      <c r="O84" s="810">
        <f>SUM(J84:N84)</f>
        <v>0</v>
      </c>
      <c r="U84" s="2849"/>
      <c r="V84" s="2850"/>
      <c r="W84" s="533"/>
      <c r="X84" s="533"/>
      <c r="Y84" s="533"/>
      <c r="Z84" s="533"/>
      <c r="AA84" s="54"/>
      <c r="AB84" s="757"/>
      <c r="AC84" s="757"/>
      <c r="AD84" s="757"/>
      <c r="AE84" s="757"/>
      <c r="AF84" s="757"/>
      <c r="AG84" s="757"/>
      <c r="AH84" s="467"/>
      <c r="AI84" s="100"/>
      <c r="IL84" s="520"/>
      <c r="JA84" s="507"/>
    </row>
    <row r="85" spans="1:261" ht="9.75" customHeight="1">
      <c r="D85" s="1"/>
      <c r="E85" s="116"/>
      <c r="F85" s="1"/>
      <c r="G85" s="188"/>
      <c r="H85" s="87"/>
      <c r="I85" s="87"/>
      <c r="J85" s="800"/>
      <c r="K85" s="800"/>
      <c r="L85" s="800"/>
      <c r="M85" s="800"/>
      <c r="N85" s="800"/>
      <c r="O85" s="800"/>
      <c r="R85" s="457"/>
      <c r="S85" s="457"/>
      <c r="T85" s="457"/>
      <c r="U85" s="876" t="str">
        <f>C86</f>
        <v>Building Type: (for Utility Allowance and other purposes)</v>
      </c>
      <c r="V85" s="164"/>
      <c r="W85" s="100"/>
      <c r="X85" s="100"/>
      <c r="Y85" s="116"/>
      <c r="Z85" s="100"/>
      <c r="AA85" s="54"/>
      <c r="AB85" s="533"/>
      <c r="AC85" s="533"/>
      <c r="AD85" s="533"/>
      <c r="AE85" s="533"/>
      <c r="AF85" s="533"/>
      <c r="AG85" s="533"/>
      <c r="AH85" s="531"/>
      <c r="AI85" s="100"/>
      <c r="IL85" s="520"/>
      <c r="JA85" s="507"/>
    </row>
    <row r="86" spans="1:261" ht="12" customHeight="1">
      <c r="C86" s="2057" t="s">
        <v>3839</v>
      </c>
      <c r="D86" s="2057"/>
      <c r="E86" s="109" t="s">
        <v>41</v>
      </c>
      <c r="F86" s="1"/>
      <c r="G86" s="188"/>
      <c r="H86" s="87"/>
      <c r="I86" s="87"/>
      <c r="J86" s="810">
        <f t="shared" ref="J86:O86" si="265">SUM(J87:J94)</f>
        <v>3</v>
      </c>
      <c r="K86" s="810">
        <f t="shared" si="265"/>
        <v>205</v>
      </c>
      <c r="L86" s="810">
        <f t="shared" si="265"/>
        <v>0</v>
      </c>
      <c r="M86" s="810">
        <f t="shared" si="265"/>
        <v>0</v>
      </c>
      <c r="N86" s="810">
        <f t="shared" si="265"/>
        <v>0</v>
      </c>
      <c r="O86" s="810">
        <f t="shared" si="265"/>
        <v>208</v>
      </c>
      <c r="R86" s="457"/>
      <c r="S86" s="457"/>
      <c r="T86" s="457"/>
      <c r="U86" s="2843"/>
      <c r="V86" s="2844"/>
      <c r="W86" s="100"/>
      <c r="X86" s="100"/>
      <c r="Y86" s="109"/>
      <c r="Z86" s="100"/>
      <c r="AA86" s="54"/>
      <c r="AB86" s="757"/>
      <c r="AC86" s="757"/>
      <c r="AD86" s="757"/>
      <c r="AE86" s="757"/>
      <c r="AF86" s="757"/>
      <c r="AG86" s="757"/>
      <c r="AH86" s="531"/>
      <c r="GT86" s="507"/>
      <c r="GY86" s="507"/>
      <c r="GZ86" s="507"/>
      <c r="HA86" s="507"/>
      <c r="HB86" s="507"/>
      <c r="HC86" s="507"/>
      <c r="HD86" s="507"/>
      <c r="HE86" s="507"/>
      <c r="HF86" s="507"/>
      <c r="HG86" s="507"/>
      <c r="HH86" s="507"/>
      <c r="HI86" s="507"/>
      <c r="HJ86" s="507"/>
      <c r="HK86" s="507"/>
      <c r="HL86" s="507"/>
      <c r="HM86" s="507"/>
      <c r="HN86" s="507"/>
      <c r="HO86" s="507"/>
      <c r="HP86" s="507"/>
      <c r="HQ86" s="507"/>
      <c r="HR86" s="507"/>
      <c r="HS86" s="507"/>
      <c r="HT86" s="507"/>
      <c r="HU86" s="507"/>
      <c r="HV86" s="507"/>
      <c r="HW86" s="507"/>
      <c r="HX86" s="507"/>
      <c r="HY86" s="507"/>
      <c r="HZ86" s="507"/>
      <c r="IA86" s="507"/>
      <c r="IB86" s="507"/>
      <c r="IC86" s="507"/>
      <c r="ID86" s="507"/>
      <c r="IL86" s="520"/>
      <c r="JA86" s="507"/>
    </row>
    <row r="87" spans="1:261" ht="12" customHeight="1">
      <c r="C87" s="2057"/>
      <c r="D87" s="2057"/>
      <c r="E87" s="109"/>
      <c r="F87" s="1"/>
      <c r="G87" s="87"/>
      <c r="H87" s="41" t="s">
        <v>2692</v>
      </c>
      <c r="I87" s="87"/>
      <c r="J87" s="1378">
        <f>GP48</f>
        <v>0</v>
      </c>
      <c r="K87" s="1378">
        <f>GQ48</f>
        <v>0</v>
      </c>
      <c r="L87" s="1378">
        <f>GR48</f>
        <v>0</v>
      </c>
      <c r="M87" s="1378">
        <f>GS48</f>
        <v>0</v>
      </c>
      <c r="N87" s="1378">
        <f>GT48</f>
        <v>0</v>
      </c>
      <c r="O87" s="1378">
        <f t="shared" ref="O87:O102" si="266">SUM(J87:N87)</f>
        <v>0</v>
      </c>
      <c r="R87" s="457"/>
      <c r="S87" s="457"/>
      <c r="T87" s="457"/>
      <c r="U87" s="2845"/>
      <c r="V87" s="2846"/>
      <c r="W87" s="100"/>
      <c r="X87" s="100"/>
      <c r="Y87" s="109"/>
      <c r="Z87" s="100"/>
      <c r="AA87" s="54"/>
      <c r="AB87" s="757"/>
      <c r="AC87" s="757"/>
      <c r="AD87" s="757"/>
      <c r="AE87" s="757"/>
      <c r="AF87" s="757"/>
      <c r="AG87" s="757"/>
      <c r="AH87" s="531"/>
      <c r="GT87" s="507"/>
      <c r="GY87" s="507"/>
      <c r="GZ87" s="507"/>
      <c r="HA87" s="507"/>
      <c r="HB87" s="507"/>
      <c r="HC87" s="507"/>
      <c r="HD87" s="507"/>
      <c r="HE87" s="507"/>
      <c r="HF87" s="507"/>
      <c r="HG87" s="507"/>
      <c r="HH87" s="507"/>
      <c r="HI87" s="507"/>
      <c r="HJ87" s="507"/>
      <c r="HK87" s="507"/>
      <c r="HL87" s="507"/>
      <c r="HM87" s="507"/>
      <c r="HN87" s="507"/>
      <c r="HO87" s="507"/>
      <c r="HP87" s="507"/>
      <c r="HQ87" s="507"/>
      <c r="HR87" s="507"/>
      <c r="HS87" s="507"/>
      <c r="HT87" s="507"/>
      <c r="HU87" s="507"/>
      <c r="HV87" s="507"/>
      <c r="HW87" s="507"/>
      <c r="HX87" s="507"/>
      <c r="HY87" s="507"/>
      <c r="HZ87" s="507"/>
      <c r="IA87" s="507"/>
      <c r="IB87" s="507"/>
      <c r="IC87" s="507"/>
      <c r="ID87" s="507"/>
      <c r="IL87" s="520"/>
      <c r="JA87" s="507"/>
    </row>
    <row r="88" spans="1:261" ht="12" customHeight="1">
      <c r="C88" s="2057"/>
      <c r="D88" s="2057"/>
      <c r="E88" s="109"/>
      <c r="F88" s="1"/>
      <c r="G88" s="87"/>
      <c r="H88" s="1205" t="s">
        <v>3545</v>
      </c>
      <c r="I88" s="87"/>
      <c r="J88" s="801">
        <f>GU48</f>
        <v>0</v>
      </c>
      <c r="K88" s="801">
        <f>GV48</f>
        <v>0</v>
      </c>
      <c r="L88" s="801">
        <f>GW48</f>
        <v>0</v>
      </c>
      <c r="M88" s="801">
        <f>GX48</f>
        <v>0</v>
      </c>
      <c r="N88" s="801">
        <f>GY48</f>
        <v>0</v>
      </c>
      <c r="O88" s="801">
        <f t="shared" si="266"/>
        <v>0</v>
      </c>
      <c r="R88" s="457"/>
      <c r="S88" s="457"/>
      <c r="T88" s="457"/>
      <c r="U88" s="2845"/>
      <c r="V88" s="2846"/>
      <c r="W88" s="100"/>
      <c r="X88" s="100"/>
      <c r="Y88" s="109"/>
      <c r="Z88" s="100"/>
      <c r="AA88" s="54"/>
      <c r="AB88" s="757"/>
      <c r="AC88" s="757"/>
      <c r="AD88" s="757"/>
      <c r="AE88" s="757"/>
      <c r="AF88" s="757"/>
      <c r="AG88" s="757"/>
      <c r="AH88" s="531"/>
      <c r="GT88" s="507"/>
      <c r="GY88" s="507"/>
      <c r="GZ88" s="507"/>
      <c r="HA88" s="507"/>
      <c r="HB88" s="507"/>
      <c r="HC88" s="507"/>
      <c r="HD88" s="507"/>
      <c r="HE88" s="507"/>
      <c r="HF88" s="507"/>
      <c r="HG88" s="507"/>
      <c r="HH88" s="507"/>
      <c r="HI88" s="507"/>
      <c r="HJ88" s="507"/>
      <c r="HK88" s="507"/>
      <c r="HL88" s="507"/>
      <c r="HM88" s="507"/>
      <c r="HN88" s="507"/>
      <c r="HO88" s="507"/>
      <c r="HP88" s="507"/>
      <c r="HQ88" s="507"/>
      <c r="HR88" s="507"/>
      <c r="HS88" s="507"/>
      <c r="HT88" s="507"/>
      <c r="HU88" s="507"/>
      <c r="HV88" s="507"/>
      <c r="HW88" s="507"/>
      <c r="HX88" s="507"/>
      <c r="HY88" s="507"/>
      <c r="HZ88" s="507"/>
      <c r="IA88" s="507"/>
      <c r="IB88" s="507"/>
      <c r="IC88" s="507"/>
      <c r="ID88" s="507"/>
      <c r="IL88" s="520"/>
      <c r="JA88" s="507"/>
    </row>
    <row r="89" spans="1:261" ht="12" customHeight="1">
      <c r="C89" s="2057"/>
      <c r="D89" s="2057"/>
      <c r="E89" s="109"/>
      <c r="F89" s="1"/>
      <c r="G89" s="87"/>
      <c r="H89" s="41" t="s">
        <v>2693</v>
      </c>
      <c r="I89" s="87"/>
      <c r="J89" s="1378">
        <f>GZ48</f>
        <v>0</v>
      </c>
      <c r="K89" s="1378">
        <f>HA48</f>
        <v>0</v>
      </c>
      <c r="L89" s="1378">
        <f>HB48</f>
        <v>0</v>
      </c>
      <c r="M89" s="1378">
        <f>HC48</f>
        <v>0</v>
      </c>
      <c r="N89" s="1378">
        <f>HD48</f>
        <v>0</v>
      </c>
      <c r="O89" s="802">
        <f t="shared" si="266"/>
        <v>0</v>
      </c>
      <c r="R89" s="457"/>
      <c r="S89" s="457"/>
      <c r="T89" s="457"/>
      <c r="U89" s="2845"/>
      <c r="V89" s="2846"/>
      <c r="W89" s="100"/>
      <c r="X89" s="100"/>
      <c r="Y89" s="109"/>
      <c r="Z89" s="100"/>
      <c r="AA89" s="54"/>
      <c r="AB89" s="757"/>
      <c r="AC89" s="757"/>
      <c r="AD89" s="757"/>
      <c r="AE89" s="757"/>
      <c r="AF89" s="757"/>
      <c r="AG89" s="757"/>
      <c r="AH89" s="531"/>
      <c r="GT89" s="507"/>
      <c r="GY89" s="507"/>
      <c r="GZ89" s="507"/>
      <c r="HA89" s="507"/>
      <c r="HB89" s="507"/>
      <c r="HC89" s="507"/>
      <c r="HD89" s="507"/>
      <c r="HE89" s="507"/>
      <c r="HF89" s="507"/>
      <c r="HG89" s="507"/>
      <c r="HH89" s="507"/>
      <c r="HI89" s="507"/>
      <c r="HJ89" s="507"/>
      <c r="HK89" s="507"/>
      <c r="HL89" s="507"/>
      <c r="HM89" s="507"/>
      <c r="HN89" s="507"/>
      <c r="HO89" s="507"/>
      <c r="HP89" s="507"/>
      <c r="HQ89" s="507"/>
      <c r="HR89" s="507"/>
      <c r="HS89" s="507"/>
      <c r="HT89" s="507"/>
      <c r="HU89" s="507"/>
      <c r="HV89" s="507"/>
      <c r="HW89" s="507"/>
      <c r="HX89" s="507"/>
      <c r="HY89" s="507"/>
      <c r="HZ89" s="507"/>
      <c r="IA89" s="507"/>
      <c r="IB89" s="507"/>
      <c r="IC89" s="507"/>
      <c r="ID89" s="507"/>
      <c r="IL89" s="520"/>
      <c r="JA89" s="507"/>
    </row>
    <row r="90" spans="1:261" ht="12" customHeight="1">
      <c r="C90" s="2057"/>
      <c r="D90" s="2057"/>
      <c r="E90" s="109"/>
      <c r="F90" s="1"/>
      <c r="G90" s="87"/>
      <c r="H90" s="1205" t="s">
        <v>3545</v>
      </c>
      <c r="I90" s="87"/>
      <c r="J90" s="801">
        <f>HE48</f>
        <v>0</v>
      </c>
      <c r="K90" s="801">
        <f>HF48</f>
        <v>0</v>
      </c>
      <c r="L90" s="801">
        <f>HG48</f>
        <v>0</v>
      </c>
      <c r="M90" s="801">
        <f>HH48</f>
        <v>0</v>
      </c>
      <c r="N90" s="801">
        <f>HI48</f>
        <v>0</v>
      </c>
      <c r="O90" s="801">
        <f t="shared" si="266"/>
        <v>0</v>
      </c>
      <c r="R90" s="457"/>
      <c r="S90" s="457"/>
      <c r="T90" s="457"/>
      <c r="U90" s="2845"/>
      <c r="V90" s="2846"/>
      <c r="W90" s="100"/>
      <c r="X90" s="100"/>
      <c r="Y90" s="109"/>
      <c r="Z90" s="100"/>
      <c r="AA90" s="54"/>
      <c r="AB90" s="757"/>
      <c r="AC90" s="757"/>
      <c r="AD90" s="757"/>
      <c r="AE90" s="757"/>
      <c r="AF90" s="757"/>
      <c r="AG90" s="757"/>
      <c r="AH90" s="531"/>
      <c r="GT90" s="507"/>
      <c r="GY90" s="507"/>
      <c r="GZ90" s="507"/>
      <c r="HA90" s="507"/>
      <c r="HB90" s="507"/>
      <c r="HC90" s="507"/>
      <c r="HD90" s="507"/>
      <c r="HE90" s="507"/>
      <c r="HF90" s="507"/>
      <c r="HG90" s="507"/>
      <c r="HH90" s="507"/>
      <c r="HI90" s="507"/>
      <c r="HJ90" s="507"/>
      <c r="HK90" s="507"/>
      <c r="HL90" s="507"/>
      <c r="HM90" s="507"/>
      <c r="HN90" s="507"/>
      <c r="HO90" s="507"/>
      <c r="HP90" s="507"/>
      <c r="HQ90" s="507"/>
      <c r="HR90" s="507"/>
      <c r="HS90" s="507"/>
      <c r="HT90" s="507"/>
      <c r="HU90" s="507"/>
      <c r="HV90" s="507"/>
      <c r="HW90" s="507"/>
      <c r="HX90" s="507"/>
      <c r="HY90" s="507"/>
      <c r="HZ90" s="507"/>
      <c r="IA90" s="507"/>
      <c r="IB90" s="507"/>
      <c r="IC90" s="507"/>
      <c r="ID90" s="507"/>
      <c r="IL90" s="520"/>
      <c r="JA90" s="507"/>
    </row>
    <row r="91" spans="1:261" ht="12" customHeight="1">
      <c r="C91" s="2057"/>
      <c r="D91" s="2057"/>
      <c r="E91" s="109"/>
      <c r="F91" s="1"/>
      <c r="G91" s="87"/>
      <c r="H91" s="41" t="s">
        <v>2695</v>
      </c>
      <c r="I91" s="87"/>
      <c r="J91" s="1378">
        <f>HJ48</f>
        <v>0</v>
      </c>
      <c r="K91" s="1378">
        <f>HK48</f>
        <v>0</v>
      </c>
      <c r="L91" s="1378">
        <f>HL48</f>
        <v>0</v>
      </c>
      <c r="M91" s="1378">
        <f>HM48</f>
        <v>0</v>
      </c>
      <c r="N91" s="1378">
        <f>HN48</f>
        <v>0</v>
      </c>
      <c r="O91" s="802">
        <f t="shared" si="266"/>
        <v>0</v>
      </c>
      <c r="R91" s="457"/>
      <c r="S91" s="457"/>
      <c r="T91" s="457"/>
      <c r="U91" s="2845"/>
      <c r="V91" s="2846"/>
      <c r="W91" s="100"/>
      <c r="X91" s="100"/>
      <c r="Y91" s="109"/>
      <c r="Z91" s="100"/>
      <c r="AA91" s="54"/>
      <c r="AB91" s="757"/>
      <c r="AC91" s="757"/>
      <c r="AD91" s="757"/>
      <c r="AE91" s="757"/>
      <c r="AF91" s="757"/>
      <c r="AG91" s="757"/>
      <c r="AH91" s="531"/>
      <c r="GT91" s="507"/>
      <c r="GY91" s="507"/>
      <c r="GZ91" s="507"/>
      <c r="HA91" s="507"/>
      <c r="HB91" s="507"/>
      <c r="HC91" s="507"/>
      <c r="HD91" s="507"/>
      <c r="HE91" s="507"/>
      <c r="HF91" s="507"/>
      <c r="HG91" s="507"/>
      <c r="HH91" s="507"/>
      <c r="HI91" s="507"/>
      <c r="HJ91" s="507"/>
      <c r="HK91" s="507"/>
      <c r="HL91" s="507"/>
      <c r="HM91" s="507"/>
      <c r="HN91" s="507"/>
      <c r="HO91" s="507"/>
      <c r="HP91" s="507"/>
      <c r="HQ91" s="507"/>
      <c r="HR91" s="507"/>
      <c r="HS91" s="507"/>
      <c r="HT91" s="507"/>
      <c r="HU91" s="507"/>
      <c r="HV91" s="507"/>
      <c r="HW91" s="507"/>
      <c r="HX91" s="507"/>
      <c r="HY91" s="507"/>
      <c r="HZ91" s="507"/>
      <c r="IA91" s="507"/>
      <c r="IB91" s="507"/>
      <c r="IC91" s="507"/>
      <c r="ID91" s="507"/>
      <c r="IL91" s="520"/>
      <c r="JA91" s="507"/>
    </row>
    <row r="92" spans="1:261" ht="12" customHeight="1">
      <c r="C92" s="2057"/>
      <c r="D92" s="2057"/>
      <c r="E92" s="109"/>
      <c r="F92" s="1"/>
      <c r="G92" s="87"/>
      <c r="H92" s="1205" t="s">
        <v>3545</v>
      </c>
      <c r="I92" s="87"/>
      <c r="J92" s="801">
        <f>HO48</f>
        <v>0</v>
      </c>
      <c r="K92" s="801">
        <f>HP48</f>
        <v>0</v>
      </c>
      <c r="L92" s="801">
        <f>HQ48</f>
        <v>0</v>
      </c>
      <c r="M92" s="801">
        <f>HR48</f>
        <v>0</v>
      </c>
      <c r="N92" s="801">
        <f>HS48</f>
        <v>0</v>
      </c>
      <c r="O92" s="801">
        <f t="shared" si="266"/>
        <v>0</v>
      </c>
      <c r="R92" s="457"/>
      <c r="S92" s="457"/>
      <c r="T92" s="457"/>
      <c r="U92" s="2845"/>
      <c r="V92" s="2846"/>
      <c r="W92" s="100"/>
      <c r="X92" s="100"/>
      <c r="Y92" s="109"/>
      <c r="Z92" s="100"/>
      <c r="AA92" s="54"/>
      <c r="AB92" s="757"/>
      <c r="AC92" s="757"/>
      <c r="AD92" s="757"/>
      <c r="AE92" s="757"/>
      <c r="AF92" s="757"/>
      <c r="AG92" s="757"/>
      <c r="AH92" s="531"/>
      <c r="GT92" s="507"/>
      <c r="GY92" s="507"/>
      <c r="GZ92" s="507"/>
      <c r="HA92" s="507"/>
      <c r="HB92" s="507"/>
      <c r="HC92" s="507"/>
      <c r="HD92" s="507"/>
      <c r="HE92" s="507"/>
      <c r="HF92" s="507"/>
      <c r="HG92" s="507"/>
      <c r="HH92" s="507"/>
      <c r="HI92" s="507"/>
      <c r="HJ92" s="507"/>
      <c r="HK92" s="507"/>
      <c r="HL92" s="507"/>
      <c r="HM92" s="507"/>
      <c r="HN92" s="507"/>
      <c r="HO92" s="507"/>
      <c r="HP92" s="507"/>
      <c r="HQ92" s="507"/>
      <c r="HR92" s="507"/>
      <c r="HS92" s="507"/>
      <c r="HT92" s="507"/>
      <c r="HU92" s="507"/>
      <c r="HV92" s="507"/>
      <c r="HW92" s="507"/>
      <c r="HX92" s="507"/>
      <c r="HY92" s="507"/>
      <c r="HZ92" s="507"/>
      <c r="IA92" s="507"/>
      <c r="IB92" s="507"/>
      <c r="IC92" s="507"/>
      <c r="ID92" s="507"/>
      <c r="IL92" s="520"/>
      <c r="JA92" s="507"/>
    </row>
    <row r="93" spans="1:261" ht="12" customHeight="1">
      <c r="C93" s="158"/>
      <c r="D93" s="158"/>
      <c r="E93" s="109"/>
      <c r="F93" s="1"/>
      <c r="G93" s="87"/>
      <c r="H93" s="41" t="s">
        <v>2694</v>
      </c>
      <c r="I93" s="87"/>
      <c r="J93" s="1378">
        <f>HT48</f>
        <v>3</v>
      </c>
      <c r="K93" s="1378">
        <f>HU48</f>
        <v>205</v>
      </c>
      <c r="L93" s="1378">
        <f>HV48</f>
        <v>0</v>
      </c>
      <c r="M93" s="1378">
        <f>HW48</f>
        <v>0</v>
      </c>
      <c r="N93" s="1378">
        <f>HX48</f>
        <v>0</v>
      </c>
      <c r="O93" s="802">
        <f t="shared" si="266"/>
        <v>208</v>
      </c>
      <c r="R93" s="457"/>
      <c r="S93" s="457"/>
      <c r="T93" s="457"/>
      <c r="U93" s="2845"/>
      <c r="V93" s="2846"/>
      <c r="W93" s="100"/>
      <c r="X93" s="100"/>
      <c r="Y93" s="109"/>
      <c r="Z93" s="100"/>
      <c r="AA93" s="54"/>
      <c r="AB93" s="757"/>
      <c r="AC93" s="757"/>
      <c r="AD93" s="757"/>
      <c r="AE93" s="757"/>
      <c r="AF93" s="757"/>
      <c r="AG93" s="757"/>
      <c r="AH93" s="531"/>
      <c r="GT93" s="507"/>
      <c r="GY93" s="507"/>
      <c r="GZ93" s="507"/>
      <c r="HA93" s="507"/>
      <c r="HB93" s="507"/>
      <c r="HC93" s="507"/>
      <c r="HD93" s="507"/>
      <c r="HE93" s="507"/>
      <c r="HF93" s="507"/>
      <c r="HG93" s="507"/>
      <c r="HH93" s="507"/>
      <c r="HI93" s="507"/>
      <c r="HJ93" s="507"/>
      <c r="HK93" s="507"/>
      <c r="HL93" s="507"/>
      <c r="HM93" s="507"/>
      <c r="HN93" s="507"/>
      <c r="HO93" s="507"/>
      <c r="HP93" s="507"/>
      <c r="HQ93" s="507"/>
      <c r="HR93" s="507"/>
      <c r="HS93" s="507"/>
      <c r="HT93" s="507"/>
      <c r="HU93" s="507"/>
      <c r="HV93" s="507"/>
      <c r="HW93" s="507"/>
      <c r="HX93" s="507"/>
      <c r="HY93" s="507"/>
      <c r="HZ93" s="507"/>
      <c r="IA93" s="507"/>
      <c r="IB93" s="507"/>
      <c r="IC93" s="507"/>
      <c r="ID93" s="507"/>
      <c r="IL93" s="520"/>
      <c r="JA93" s="507"/>
    </row>
    <row r="94" spans="1:261" ht="12" customHeight="1">
      <c r="C94" s="158"/>
      <c r="D94" s="158"/>
      <c r="E94" s="109"/>
      <c r="F94" s="1"/>
      <c r="G94" s="87"/>
      <c r="H94" s="1205" t="s">
        <v>3545</v>
      </c>
      <c r="I94" s="87"/>
      <c r="J94" s="801">
        <f>HY48</f>
        <v>0</v>
      </c>
      <c r="K94" s="801">
        <f>HZ48</f>
        <v>0</v>
      </c>
      <c r="L94" s="801">
        <f>IA48</f>
        <v>0</v>
      </c>
      <c r="M94" s="801">
        <f>IB48</f>
        <v>0</v>
      </c>
      <c r="N94" s="801">
        <f>IC48</f>
        <v>0</v>
      </c>
      <c r="O94" s="801">
        <f t="shared" si="266"/>
        <v>0</v>
      </c>
      <c r="R94" s="457"/>
      <c r="S94" s="457"/>
      <c r="T94" s="457"/>
      <c r="U94" s="2845"/>
      <c r="V94" s="2846"/>
      <c r="W94" s="100"/>
      <c r="X94" s="100"/>
      <c r="Y94" s="109"/>
      <c r="Z94" s="100"/>
      <c r="AA94" s="54"/>
      <c r="AB94" s="757"/>
      <c r="AC94" s="757"/>
      <c r="AD94" s="757"/>
      <c r="AE94" s="757"/>
      <c r="AF94" s="757"/>
      <c r="AG94" s="757"/>
      <c r="AH94" s="531"/>
      <c r="GT94" s="507"/>
      <c r="GY94" s="507"/>
      <c r="GZ94" s="507"/>
      <c r="HA94" s="507"/>
      <c r="HB94" s="507"/>
      <c r="HC94" s="507"/>
      <c r="HD94" s="507"/>
      <c r="HE94" s="507"/>
      <c r="HF94" s="507"/>
      <c r="HG94" s="507"/>
      <c r="HH94" s="507"/>
      <c r="HI94" s="507"/>
      <c r="HJ94" s="507"/>
      <c r="HK94" s="507"/>
      <c r="HL94" s="507"/>
      <c r="HM94" s="507"/>
      <c r="HN94" s="507"/>
      <c r="HO94" s="507"/>
      <c r="HP94" s="507"/>
      <c r="HQ94" s="507"/>
      <c r="HR94" s="507"/>
      <c r="HS94" s="507"/>
      <c r="HT94" s="507"/>
      <c r="HU94" s="507"/>
      <c r="HV94" s="507"/>
      <c r="HW94" s="507"/>
      <c r="HX94" s="507"/>
      <c r="HY94" s="507"/>
      <c r="HZ94" s="507"/>
      <c r="IA94" s="507"/>
      <c r="IB94" s="507"/>
      <c r="IC94" s="507"/>
      <c r="ID94" s="507"/>
      <c r="IL94" s="520"/>
      <c r="JA94" s="507"/>
    </row>
    <row r="95" spans="1:261" ht="12" customHeight="1">
      <c r="C95" s="158"/>
      <c r="D95" s="158"/>
      <c r="E95" s="109" t="s">
        <v>42</v>
      </c>
      <c r="F95" s="1"/>
      <c r="G95" s="87"/>
      <c r="H95" s="41"/>
      <c r="I95" s="87"/>
      <c r="J95" s="802">
        <f>FB48</f>
        <v>0</v>
      </c>
      <c r="K95" s="802">
        <f>FC48</f>
        <v>0</v>
      </c>
      <c r="L95" s="802">
        <f>FD48</f>
        <v>0</v>
      </c>
      <c r="M95" s="802">
        <f>FE48</f>
        <v>0</v>
      </c>
      <c r="N95" s="802">
        <f>FF48</f>
        <v>0</v>
      </c>
      <c r="O95" s="802">
        <f t="shared" si="266"/>
        <v>0</v>
      </c>
      <c r="R95" s="457"/>
      <c r="S95" s="457"/>
      <c r="T95" s="457"/>
      <c r="U95" s="2845"/>
      <c r="V95" s="2846"/>
      <c r="W95" s="100"/>
      <c r="X95" s="100"/>
      <c r="Y95" s="109"/>
      <c r="Z95" s="100"/>
      <c r="AA95" s="54"/>
      <c r="AB95" s="757"/>
      <c r="AC95" s="757"/>
      <c r="AD95" s="757"/>
      <c r="AE95" s="757"/>
      <c r="AF95" s="757"/>
      <c r="AG95" s="757"/>
      <c r="AH95" s="467"/>
      <c r="AI95" s="100"/>
      <c r="IL95" s="520"/>
      <c r="JA95" s="507"/>
    </row>
    <row r="96" spans="1:261" ht="12" customHeight="1">
      <c r="C96" s="158"/>
      <c r="D96" s="158"/>
      <c r="E96" s="109"/>
      <c r="F96" s="1"/>
      <c r="G96" s="87"/>
      <c r="H96" s="1205" t="s">
        <v>3545</v>
      </c>
      <c r="I96" s="87"/>
      <c r="J96" s="801">
        <f>FG48</f>
        <v>0</v>
      </c>
      <c r="K96" s="801">
        <f>FH48</f>
        <v>0</v>
      </c>
      <c r="L96" s="801">
        <f>FI48</f>
        <v>0</v>
      </c>
      <c r="M96" s="801">
        <f>FJ48</f>
        <v>0</v>
      </c>
      <c r="N96" s="801">
        <f>FK48</f>
        <v>0</v>
      </c>
      <c r="O96" s="801">
        <f t="shared" si="266"/>
        <v>0</v>
      </c>
      <c r="R96" s="457"/>
      <c r="S96" s="457"/>
      <c r="T96" s="457"/>
      <c r="U96" s="2845"/>
      <c r="V96" s="2846"/>
      <c r="W96" s="100"/>
      <c r="X96" s="100"/>
      <c r="Y96" s="109"/>
      <c r="Z96" s="100"/>
      <c r="AA96" s="54"/>
      <c r="AB96" s="757"/>
      <c r="AC96" s="757"/>
      <c r="AD96" s="757"/>
      <c r="AE96" s="757"/>
      <c r="AF96" s="757"/>
      <c r="AG96" s="757"/>
      <c r="AH96" s="467"/>
      <c r="AI96" s="100"/>
      <c r="IL96" s="520"/>
      <c r="JA96" s="507"/>
    </row>
    <row r="97" spans="1:261" ht="12" customHeight="1">
      <c r="C97" s="100"/>
      <c r="D97" s="100"/>
      <c r="E97" s="109" t="s">
        <v>43</v>
      </c>
      <c r="F97" s="1"/>
      <c r="G97" s="87"/>
      <c r="H97" s="41"/>
      <c r="I97" s="87"/>
      <c r="J97" s="802">
        <f>GF48</f>
        <v>0</v>
      </c>
      <c r="K97" s="802">
        <f>GG48</f>
        <v>0</v>
      </c>
      <c r="L97" s="802">
        <f>GH48</f>
        <v>0</v>
      </c>
      <c r="M97" s="802">
        <f>GI48</f>
        <v>0</v>
      </c>
      <c r="N97" s="802">
        <f>GJ48</f>
        <v>0</v>
      </c>
      <c r="O97" s="802">
        <f t="shared" si="266"/>
        <v>0</v>
      </c>
      <c r="R97" s="457"/>
      <c r="S97" s="457"/>
      <c r="T97" s="457"/>
      <c r="U97" s="2845"/>
      <c r="V97" s="2846"/>
      <c r="W97" s="100"/>
      <c r="X97" s="100"/>
      <c r="Y97" s="109"/>
      <c r="Z97" s="100"/>
      <c r="AA97" s="54"/>
      <c r="AB97" s="757"/>
      <c r="AC97" s="757"/>
      <c r="AD97" s="757"/>
      <c r="AE97" s="757"/>
      <c r="AF97" s="757"/>
      <c r="AG97" s="757"/>
      <c r="AH97" s="531"/>
      <c r="GT97" s="507"/>
      <c r="GY97" s="507"/>
      <c r="GZ97" s="507"/>
      <c r="HA97" s="507"/>
      <c r="HB97" s="507"/>
      <c r="HC97" s="507"/>
      <c r="HD97" s="507"/>
      <c r="HE97" s="507"/>
      <c r="HF97" s="507"/>
      <c r="HG97" s="507"/>
      <c r="HH97" s="507"/>
      <c r="HI97" s="507"/>
      <c r="HJ97" s="507"/>
      <c r="HK97" s="507"/>
      <c r="HL97" s="507"/>
      <c r="HM97" s="507"/>
      <c r="HN97" s="507"/>
      <c r="HO97" s="507"/>
      <c r="HP97" s="507"/>
      <c r="HQ97" s="507"/>
      <c r="HR97" s="507"/>
      <c r="HS97" s="507"/>
      <c r="HT97" s="507"/>
      <c r="HU97" s="507"/>
      <c r="HV97" s="507"/>
      <c r="HW97" s="507"/>
      <c r="HX97" s="507"/>
      <c r="HY97" s="507"/>
      <c r="HZ97" s="507"/>
      <c r="IA97" s="507"/>
      <c r="IB97" s="507"/>
      <c r="IC97" s="507"/>
      <c r="ID97" s="507"/>
      <c r="IL97" s="520"/>
      <c r="JA97" s="507"/>
    </row>
    <row r="98" spans="1:261" ht="12" customHeight="1">
      <c r="C98" s="100"/>
      <c r="D98" s="100"/>
      <c r="E98" s="109"/>
      <c r="F98" s="1"/>
      <c r="G98" s="87"/>
      <c r="H98" s="1205" t="s">
        <v>3545</v>
      </c>
      <c r="I98" s="87"/>
      <c r="J98" s="801">
        <f>GK48</f>
        <v>0</v>
      </c>
      <c r="K98" s="801">
        <f>GL48</f>
        <v>0</v>
      </c>
      <c r="L98" s="801">
        <f>GM48</f>
        <v>0</v>
      </c>
      <c r="M98" s="801">
        <f>GN48</f>
        <v>0</v>
      </c>
      <c r="N98" s="801">
        <f>GO48</f>
        <v>0</v>
      </c>
      <c r="O98" s="801">
        <f t="shared" si="266"/>
        <v>0</v>
      </c>
      <c r="R98" s="457"/>
      <c r="S98" s="457"/>
      <c r="T98" s="457"/>
      <c r="U98" s="2845"/>
      <c r="V98" s="2846"/>
      <c r="W98" s="100"/>
      <c r="X98" s="100"/>
      <c r="Y98" s="109"/>
      <c r="Z98" s="100"/>
      <c r="AA98" s="54"/>
      <c r="AB98" s="757"/>
      <c r="AC98" s="757"/>
      <c r="AD98" s="757"/>
      <c r="AE98" s="757"/>
      <c r="AF98" s="757"/>
      <c r="AG98" s="757"/>
      <c r="AH98" s="531"/>
      <c r="GT98" s="507"/>
      <c r="GY98" s="507"/>
      <c r="GZ98" s="507"/>
      <c r="HA98" s="507"/>
      <c r="HB98" s="507"/>
      <c r="HC98" s="507"/>
      <c r="HD98" s="507"/>
      <c r="HE98" s="507"/>
      <c r="HF98" s="507"/>
      <c r="HG98" s="507"/>
      <c r="HH98" s="507"/>
      <c r="HI98" s="507"/>
      <c r="HJ98" s="507"/>
      <c r="HK98" s="507"/>
      <c r="HL98" s="507"/>
      <c r="HM98" s="507"/>
      <c r="HN98" s="507"/>
      <c r="HO98" s="507"/>
      <c r="HP98" s="507"/>
      <c r="HQ98" s="507"/>
      <c r="HR98" s="507"/>
      <c r="HS98" s="507"/>
      <c r="HT98" s="507"/>
      <c r="HU98" s="507"/>
      <c r="HV98" s="507"/>
      <c r="HW98" s="507"/>
      <c r="HX98" s="507"/>
      <c r="HY98" s="507"/>
      <c r="HZ98" s="507"/>
      <c r="IA98" s="507"/>
      <c r="IB98" s="507"/>
      <c r="IC98" s="507"/>
      <c r="ID98" s="507"/>
      <c r="IL98" s="520"/>
      <c r="JA98" s="507"/>
    </row>
    <row r="99" spans="1:261" ht="12" customHeight="1">
      <c r="C99" s="100"/>
      <c r="D99" s="100"/>
      <c r="E99" s="116" t="s">
        <v>584</v>
      </c>
      <c r="F99" s="1"/>
      <c r="G99" s="87"/>
      <c r="H99" s="41"/>
      <c r="I99" s="87"/>
      <c r="J99" s="802">
        <f>FV48</f>
        <v>0</v>
      </c>
      <c r="K99" s="802">
        <f>FW48</f>
        <v>0</v>
      </c>
      <c r="L99" s="802">
        <f>FX48</f>
        <v>0</v>
      </c>
      <c r="M99" s="802">
        <f>FY48</f>
        <v>0</v>
      </c>
      <c r="N99" s="802">
        <f>FZ48</f>
        <v>0</v>
      </c>
      <c r="O99" s="802">
        <f t="shared" si="266"/>
        <v>0</v>
      </c>
      <c r="R99" s="457"/>
      <c r="S99" s="457"/>
      <c r="T99" s="457"/>
      <c r="U99" s="2845"/>
      <c r="V99" s="2846"/>
      <c r="W99" s="100"/>
      <c r="X99" s="100"/>
      <c r="Y99" s="116"/>
      <c r="Z99" s="100"/>
      <c r="AA99" s="54"/>
      <c r="AB99" s="757"/>
      <c r="AC99" s="757"/>
      <c r="AD99" s="757"/>
      <c r="AE99" s="757"/>
      <c r="AF99" s="757"/>
      <c r="AG99" s="757"/>
      <c r="AH99" s="467"/>
      <c r="AI99" s="100"/>
      <c r="IL99" s="520"/>
      <c r="JA99" s="507"/>
    </row>
    <row r="100" spans="1:261" ht="12" customHeight="1">
      <c r="C100" s="100"/>
      <c r="D100" s="100"/>
      <c r="E100" s="116"/>
      <c r="F100" s="1"/>
      <c r="G100" s="87"/>
      <c r="H100" s="1205" t="s">
        <v>3545</v>
      </c>
      <c r="I100" s="87"/>
      <c r="J100" s="1378">
        <f>GA48</f>
        <v>0</v>
      </c>
      <c r="K100" s="1378">
        <f>GB48</f>
        <v>0</v>
      </c>
      <c r="L100" s="1378">
        <f>GC48</f>
        <v>0</v>
      </c>
      <c r="M100" s="1378">
        <f>GD48</f>
        <v>0</v>
      </c>
      <c r="N100" s="1378">
        <f>GE48</f>
        <v>0</v>
      </c>
      <c r="O100" s="801">
        <f t="shared" si="266"/>
        <v>0</v>
      </c>
      <c r="R100" s="457"/>
      <c r="S100" s="457"/>
      <c r="T100" s="457"/>
      <c r="U100" s="2845"/>
      <c r="V100" s="2846"/>
      <c r="W100" s="100"/>
      <c r="X100" s="100"/>
      <c r="Y100" s="116"/>
      <c r="Z100" s="100"/>
      <c r="AA100" s="54"/>
      <c r="AB100" s="757"/>
      <c r="AC100" s="757"/>
      <c r="AD100" s="757"/>
      <c r="AE100" s="757"/>
      <c r="AF100" s="757"/>
      <c r="AG100" s="757"/>
      <c r="AH100" s="467"/>
      <c r="AI100" s="100"/>
      <c r="IL100" s="520"/>
      <c r="JA100" s="507"/>
    </row>
    <row r="101" spans="1:261" ht="12" customHeight="1">
      <c r="C101" s="100"/>
      <c r="D101" s="100"/>
      <c r="E101" s="95" t="s">
        <v>585</v>
      </c>
      <c r="F101" s="1"/>
      <c r="G101" s="87"/>
      <c r="H101" s="41"/>
      <c r="I101" s="87"/>
      <c r="J101" s="802">
        <f>FL48</f>
        <v>0</v>
      </c>
      <c r="K101" s="802">
        <f>FM48</f>
        <v>0</v>
      </c>
      <c r="L101" s="802">
        <f>FN48</f>
        <v>0</v>
      </c>
      <c r="M101" s="802">
        <f>FO48</f>
        <v>0</v>
      </c>
      <c r="N101" s="802">
        <f>FP48</f>
        <v>0</v>
      </c>
      <c r="O101" s="802">
        <f t="shared" si="266"/>
        <v>0</v>
      </c>
      <c r="R101" s="457"/>
      <c r="S101" s="457"/>
      <c r="T101" s="457"/>
      <c r="U101" s="2845"/>
      <c r="V101" s="2846"/>
      <c r="W101" s="100"/>
      <c r="X101" s="100"/>
      <c r="Y101" s="95"/>
      <c r="Z101" s="100"/>
      <c r="AA101" s="54"/>
      <c r="AB101" s="757"/>
      <c r="AC101" s="757"/>
      <c r="AD101" s="757"/>
      <c r="AE101" s="757"/>
      <c r="AF101" s="757"/>
      <c r="AG101" s="757"/>
      <c r="AH101" s="531"/>
      <c r="GT101" s="507"/>
      <c r="GY101" s="507"/>
      <c r="GZ101" s="507"/>
      <c r="HA101" s="507"/>
      <c r="HB101" s="507"/>
      <c r="HC101" s="507"/>
      <c r="HD101" s="507"/>
      <c r="HE101" s="507"/>
      <c r="HF101" s="507"/>
      <c r="HG101" s="507"/>
      <c r="HH101" s="507"/>
      <c r="HI101" s="507"/>
      <c r="HJ101" s="507"/>
      <c r="HK101" s="507"/>
      <c r="HL101" s="507"/>
      <c r="HM101" s="507"/>
      <c r="HN101" s="507"/>
      <c r="HO101" s="507"/>
      <c r="HP101" s="507"/>
      <c r="HQ101" s="507"/>
      <c r="HR101" s="507"/>
      <c r="HS101" s="507"/>
      <c r="HT101" s="507"/>
      <c r="HU101" s="507"/>
      <c r="HV101" s="507"/>
      <c r="HW101" s="507"/>
      <c r="HX101" s="507"/>
      <c r="HY101" s="507"/>
      <c r="HZ101" s="507"/>
      <c r="IA101" s="507"/>
      <c r="IB101" s="507"/>
      <c r="IC101" s="507"/>
      <c r="ID101" s="507"/>
      <c r="IL101" s="520"/>
      <c r="JA101" s="507"/>
    </row>
    <row r="102" spans="1:261" ht="12" customHeight="1">
      <c r="C102" s="100"/>
      <c r="D102" s="100"/>
      <c r="E102" s="95"/>
      <c r="F102" s="1"/>
      <c r="G102" s="87"/>
      <c r="H102" s="1205" t="s">
        <v>3545</v>
      </c>
      <c r="I102" s="87"/>
      <c r="J102" s="1379">
        <f>FQ48</f>
        <v>0</v>
      </c>
      <c r="K102" s="1379">
        <f>FR48</f>
        <v>0</v>
      </c>
      <c r="L102" s="1379">
        <f>FS48</f>
        <v>0</v>
      </c>
      <c r="M102" s="1379">
        <f>FT48</f>
        <v>0</v>
      </c>
      <c r="N102" s="1379">
        <f>FU48</f>
        <v>0</v>
      </c>
      <c r="O102" s="1379">
        <f t="shared" si="266"/>
        <v>0</v>
      </c>
      <c r="R102" s="457"/>
      <c r="S102" s="457"/>
      <c r="T102" s="457"/>
      <c r="U102" s="2849"/>
      <c r="V102" s="2850"/>
      <c r="W102" s="100"/>
      <c r="X102" s="100"/>
      <c r="Y102" s="95"/>
      <c r="Z102" s="100"/>
      <c r="AA102" s="54"/>
      <c r="AB102" s="757"/>
      <c r="AC102" s="757"/>
      <c r="AD102" s="757"/>
      <c r="AE102" s="757"/>
      <c r="AF102" s="757"/>
      <c r="AG102" s="757"/>
      <c r="AH102" s="531"/>
      <c r="GT102" s="507"/>
      <c r="GY102" s="507"/>
      <c r="GZ102" s="507"/>
      <c r="HA102" s="507"/>
      <c r="HB102" s="507"/>
      <c r="HC102" s="507"/>
      <c r="HD102" s="507"/>
      <c r="HE102" s="507"/>
      <c r="HF102" s="507"/>
      <c r="HG102" s="507"/>
      <c r="HH102" s="507"/>
      <c r="HI102" s="507"/>
      <c r="HJ102" s="507"/>
      <c r="HK102" s="507"/>
      <c r="HL102" s="507"/>
      <c r="HM102" s="507"/>
      <c r="HN102" s="507"/>
      <c r="HO102" s="507"/>
      <c r="HP102" s="507"/>
      <c r="HQ102" s="507"/>
      <c r="HR102" s="507"/>
      <c r="HS102" s="507"/>
      <c r="HT102" s="507"/>
      <c r="HU102" s="507"/>
      <c r="HV102" s="507"/>
      <c r="HW102" s="507"/>
      <c r="HX102" s="507"/>
      <c r="HY102" s="507"/>
      <c r="HZ102" s="507"/>
      <c r="IA102" s="507"/>
      <c r="IB102" s="507"/>
      <c r="IC102" s="507"/>
      <c r="ID102" s="507"/>
      <c r="IL102" s="520"/>
      <c r="JA102" s="507"/>
    </row>
    <row r="103" spans="1:261" ht="4.5" customHeight="1">
      <c r="C103" s="100"/>
      <c r="D103" s="158"/>
      <c r="G103" s="87"/>
      <c r="H103" s="1308"/>
      <c r="I103" s="87"/>
      <c r="J103" s="803"/>
      <c r="K103" s="803"/>
      <c r="L103" s="803"/>
      <c r="M103" s="803"/>
      <c r="N103" s="803"/>
      <c r="O103" s="803"/>
      <c r="U103" s="348" t="str">
        <f>C104</f>
        <v>Building Type:
(for Cost Limit purposes)</v>
      </c>
    </row>
    <row r="104" spans="1:261" ht="12" customHeight="1">
      <c r="C104" s="2057" t="s">
        <v>4109</v>
      </c>
      <c r="D104" s="2057"/>
      <c r="E104" s="116" t="s">
        <v>3540</v>
      </c>
      <c r="F104" s="188"/>
      <c r="G104" s="87"/>
      <c r="H104" s="41"/>
      <c r="I104" s="87"/>
      <c r="J104" s="1380">
        <f t="shared" ref="J104:N105" si="267">J95+J99+J101</f>
        <v>0</v>
      </c>
      <c r="K104" s="1380">
        <f t="shared" si="267"/>
        <v>0</v>
      </c>
      <c r="L104" s="1380">
        <f t="shared" si="267"/>
        <v>0</v>
      </c>
      <c r="M104" s="1380">
        <f t="shared" si="267"/>
        <v>0</v>
      </c>
      <c r="N104" s="1380">
        <f t="shared" si="267"/>
        <v>0</v>
      </c>
      <c r="O104" s="1380">
        <f t="shared" ref="O104:O111" si="268">SUM(J104:N104)</f>
        <v>0</v>
      </c>
      <c r="R104" s="457"/>
      <c r="S104" s="457"/>
      <c r="T104" s="457"/>
      <c r="U104" s="2843"/>
      <c r="V104" s="2844"/>
      <c r="W104" s="100"/>
      <c r="X104" s="100"/>
      <c r="Y104" s="95"/>
      <c r="Z104" s="100"/>
      <c r="AA104" s="54"/>
      <c r="AB104" s="757"/>
      <c r="AC104" s="757"/>
      <c r="AD104" s="757"/>
      <c r="AE104" s="757"/>
      <c r="AF104" s="757"/>
      <c r="AG104" s="757"/>
      <c r="AH104" s="531"/>
      <c r="GT104" s="507"/>
      <c r="GY104" s="507"/>
      <c r="GZ104" s="507"/>
      <c r="HA104" s="507"/>
      <c r="HB104" s="507"/>
      <c r="HC104" s="507"/>
      <c r="HD104" s="507"/>
      <c r="HE104" s="507"/>
      <c r="HF104" s="507"/>
      <c r="HG104" s="507"/>
      <c r="HH104" s="507"/>
      <c r="HI104" s="507"/>
      <c r="HJ104" s="507"/>
      <c r="HK104" s="507"/>
      <c r="HL104" s="507"/>
      <c r="HM104" s="507"/>
      <c r="HN104" s="507"/>
      <c r="HO104" s="507"/>
      <c r="HP104" s="507"/>
      <c r="HQ104" s="507"/>
      <c r="HR104" s="507"/>
      <c r="HS104" s="507"/>
      <c r="HT104" s="507"/>
      <c r="HU104" s="507"/>
      <c r="HV104" s="507"/>
      <c r="HW104" s="507"/>
      <c r="HX104" s="507"/>
      <c r="HY104" s="507"/>
      <c r="HZ104" s="507"/>
      <c r="IA104" s="507"/>
      <c r="IB104" s="507"/>
      <c r="IC104" s="507"/>
      <c r="ID104" s="507"/>
      <c r="IL104" s="520"/>
      <c r="JA104" s="507"/>
    </row>
    <row r="105" spans="1:261" ht="12" customHeight="1">
      <c r="C105" s="2057"/>
      <c r="D105" s="2057"/>
      <c r="E105" s="116"/>
      <c r="F105" s="188"/>
      <c r="G105" s="87"/>
      <c r="H105" s="1205" t="s">
        <v>3545</v>
      </c>
      <c r="I105" s="87"/>
      <c r="J105" s="804">
        <f t="shared" si="267"/>
        <v>0</v>
      </c>
      <c r="K105" s="804">
        <f t="shared" si="267"/>
        <v>0</v>
      </c>
      <c r="L105" s="804">
        <f t="shared" si="267"/>
        <v>0</v>
      </c>
      <c r="M105" s="804">
        <f t="shared" si="267"/>
        <v>0</v>
      </c>
      <c r="N105" s="804">
        <f t="shared" si="267"/>
        <v>0</v>
      </c>
      <c r="O105" s="804">
        <f t="shared" si="268"/>
        <v>0</v>
      </c>
      <c r="R105" s="457"/>
      <c r="S105" s="457"/>
      <c r="T105" s="457"/>
      <c r="U105" s="2845"/>
      <c r="V105" s="2846"/>
      <c r="W105" s="100"/>
      <c r="X105" s="100"/>
      <c r="Y105" s="95"/>
      <c r="Z105" s="100"/>
      <c r="AA105" s="54"/>
      <c r="AB105" s="757"/>
      <c r="AC105" s="757"/>
      <c r="AD105" s="757"/>
      <c r="AE105" s="757"/>
      <c r="AF105" s="757"/>
      <c r="AG105" s="757"/>
      <c r="AH105" s="531"/>
      <c r="GT105" s="507"/>
      <c r="GY105" s="507"/>
      <c r="GZ105" s="507"/>
      <c r="HA105" s="507"/>
      <c r="HB105" s="507"/>
      <c r="HC105" s="507"/>
      <c r="HD105" s="507"/>
      <c r="HE105" s="507"/>
      <c r="HF105" s="507"/>
      <c r="HG105" s="507"/>
      <c r="HH105" s="507"/>
      <c r="HI105" s="507"/>
      <c r="HJ105" s="507"/>
      <c r="HK105" s="507"/>
      <c r="HL105" s="507"/>
      <c r="HM105" s="507"/>
      <c r="HN105" s="507"/>
      <c r="HO105" s="507"/>
      <c r="HP105" s="507"/>
      <c r="HQ105" s="507"/>
      <c r="HR105" s="507"/>
      <c r="HS105" s="507"/>
      <c r="HT105" s="507"/>
      <c r="HU105" s="507"/>
      <c r="HV105" s="507"/>
      <c r="HW105" s="507"/>
      <c r="HX105" s="507"/>
      <c r="HY105" s="507"/>
      <c r="HZ105" s="507"/>
      <c r="IA105" s="507"/>
      <c r="IB105" s="507"/>
      <c r="IC105" s="507"/>
      <c r="ID105" s="507"/>
      <c r="IL105" s="520"/>
      <c r="JA105" s="507"/>
    </row>
    <row r="106" spans="1:261" ht="12" customHeight="1">
      <c r="C106" s="2057"/>
      <c r="D106" s="2057"/>
      <c r="E106" s="116" t="s">
        <v>3541</v>
      </c>
      <c r="F106" s="188"/>
      <c r="G106" s="87"/>
      <c r="H106" s="188"/>
      <c r="I106" s="87"/>
      <c r="J106" s="1381">
        <f>J87+J97</f>
        <v>0</v>
      </c>
      <c r="K106" s="1381">
        <f t="shared" ref="K106:N107" si="269">K87+K97</f>
        <v>0</v>
      </c>
      <c r="L106" s="1381">
        <f t="shared" si="269"/>
        <v>0</v>
      </c>
      <c r="M106" s="1381">
        <f t="shared" si="269"/>
        <v>0</v>
      </c>
      <c r="N106" s="1381">
        <f t="shared" si="269"/>
        <v>0</v>
      </c>
      <c r="O106" s="1381">
        <f t="shared" si="268"/>
        <v>0</v>
      </c>
      <c r="R106" s="457"/>
      <c r="S106" s="457"/>
      <c r="T106" s="457"/>
      <c r="U106" s="2845"/>
      <c r="V106" s="2846"/>
      <c r="W106" s="100"/>
      <c r="X106" s="100"/>
      <c r="Y106" s="95"/>
      <c r="Z106" s="100"/>
      <c r="AA106" s="54"/>
      <c r="AB106" s="757"/>
      <c r="AC106" s="757"/>
      <c r="AD106" s="757"/>
      <c r="AE106" s="757"/>
      <c r="AF106" s="757"/>
      <c r="AG106" s="757"/>
      <c r="AH106" s="531"/>
      <c r="GT106" s="507"/>
      <c r="GY106" s="507"/>
      <c r="GZ106" s="507"/>
      <c r="HA106" s="507"/>
      <c r="HB106" s="507"/>
      <c r="HC106" s="507"/>
      <c r="HD106" s="507"/>
      <c r="HE106" s="507"/>
      <c r="HF106" s="507"/>
      <c r="HG106" s="507"/>
      <c r="HH106" s="507"/>
      <c r="HI106" s="507"/>
      <c r="HJ106" s="507"/>
      <c r="HK106" s="507"/>
      <c r="HL106" s="507"/>
      <c r="HM106" s="507"/>
      <c r="HN106" s="507"/>
      <c r="HO106" s="507"/>
      <c r="HP106" s="507"/>
      <c r="HQ106" s="507"/>
      <c r="HR106" s="507"/>
      <c r="HS106" s="507"/>
      <c r="HT106" s="507"/>
      <c r="HU106" s="507"/>
      <c r="HV106" s="507"/>
      <c r="HW106" s="507"/>
      <c r="HX106" s="507"/>
      <c r="HY106" s="507"/>
      <c r="HZ106" s="507"/>
      <c r="IA106" s="507"/>
      <c r="IB106" s="507"/>
      <c r="IC106" s="507"/>
      <c r="ID106" s="507"/>
      <c r="IL106" s="520"/>
      <c r="JA106" s="507"/>
    </row>
    <row r="107" spans="1:261" ht="12" customHeight="1">
      <c r="C107" s="2057"/>
      <c r="D107" s="2057"/>
      <c r="E107" s="116"/>
      <c r="F107" s="188"/>
      <c r="G107" s="87"/>
      <c r="H107" s="1205" t="s">
        <v>3545</v>
      </c>
      <c r="I107" s="87"/>
      <c r="J107" s="804">
        <f>J88+J98</f>
        <v>0</v>
      </c>
      <c r="K107" s="804">
        <f t="shared" si="269"/>
        <v>0</v>
      </c>
      <c r="L107" s="804">
        <f t="shared" si="269"/>
        <v>0</v>
      </c>
      <c r="M107" s="804">
        <f t="shared" si="269"/>
        <v>0</v>
      </c>
      <c r="N107" s="804">
        <f t="shared" si="269"/>
        <v>0</v>
      </c>
      <c r="O107" s="804">
        <f t="shared" si="268"/>
        <v>0</v>
      </c>
      <c r="R107" s="457"/>
      <c r="S107" s="457"/>
      <c r="T107" s="457"/>
      <c r="U107" s="2845"/>
      <c r="V107" s="2846"/>
      <c r="W107" s="100"/>
      <c r="X107" s="100"/>
      <c r="Y107" s="95"/>
      <c r="Z107" s="100"/>
      <c r="AA107" s="54"/>
      <c r="AB107" s="757"/>
      <c r="AC107" s="757"/>
      <c r="AD107" s="757"/>
      <c r="AE107" s="757"/>
      <c r="AF107" s="757"/>
      <c r="AG107" s="757"/>
      <c r="AH107" s="531"/>
      <c r="GT107" s="507"/>
      <c r="GY107" s="507"/>
      <c r="GZ107" s="507"/>
      <c r="HA107" s="507"/>
      <c r="HB107" s="507"/>
      <c r="HC107" s="507"/>
      <c r="HD107" s="507"/>
      <c r="HE107" s="507"/>
      <c r="HF107" s="507"/>
      <c r="HG107" s="507"/>
      <c r="HH107" s="507"/>
      <c r="HI107" s="507"/>
      <c r="HJ107" s="507"/>
      <c r="HK107" s="507"/>
      <c r="HL107" s="507"/>
      <c r="HM107" s="507"/>
      <c r="HN107" s="507"/>
      <c r="HO107" s="507"/>
      <c r="HP107" s="507"/>
      <c r="HQ107" s="507"/>
      <c r="HR107" s="507"/>
      <c r="HS107" s="507"/>
      <c r="HT107" s="507"/>
      <c r="HU107" s="507"/>
      <c r="HV107" s="507"/>
      <c r="HW107" s="507"/>
      <c r="HX107" s="507"/>
      <c r="HY107" s="507"/>
      <c r="HZ107" s="507"/>
      <c r="IA107" s="507"/>
      <c r="IB107" s="507"/>
      <c r="IC107" s="507"/>
      <c r="ID107" s="507"/>
      <c r="IL107" s="520"/>
      <c r="JA107" s="507"/>
    </row>
    <row r="108" spans="1:261" ht="12" customHeight="1">
      <c r="C108" s="2057"/>
      <c r="D108" s="2057"/>
      <c r="E108" s="116" t="s">
        <v>3542</v>
      </c>
      <c r="F108" s="188"/>
      <c r="G108" s="87"/>
      <c r="H108" s="41"/>
      <c r="I108" s="87"/>
      <c r="J108" s="1381">
        <f>J91</f>
        <v>0</v>
      </c>
      <c r="K108" s="1381">
        <f t="shared" ref="K108:N109" si="270">K91</f>
        <v>0</v>
      </c>
      <c r="L108" s="1381">
        <f t="shared" si="270"/>
        <v>0</v>
      </c>
      <c r="M108" s="1381">
        <f t="shared" si="270"/>
        <v>0</v>
      </c>
      <c r="N108" s="1381">
        <f t="shared" si="270"/>
        <v>0</v>
      </c>
      <c r="O108" s="1381">
        <f t="shared" si="268"/>
        <v>0</v>
      </c>
      <c r="R108" s="457"/>
      <c r="S108" s="457"/>
      <c r="T108" s="457"/>
      <c r="U108" s="2845"/>
      <c r="V108" s="2846"/>
      <c r="W108" s="100"/>
      <c r="X108" s="100"/>
      <c r="Y108" s="95"/>
      <c r="Z108" s="100"/>
      <c r="AA108" s="54"/>
      <c r="AB108" s="757"/>
      <c r="AC108" s="757"/>
      <c r="AD108" s="757"/>
      <c r="AE108" s="757"/>
      <c r="AF108" s="757"/>
      <c r="AG108" s="757"/>
      <c r="AH108" s="531"/>
      <c r="GT108" s="507"/>
      <c r="GY108" s="507"/>
      <c r="GZ108" s="507"/>
      <c r="HA108" s="507"/>
      <c r="HB108" s="507"/>
      <c r="HC108" s="507"/>
      <c r="HD108" s="507"/>
      <c r="HE108" s="507"/>
      <c r="HF108" s="507"/>
      <c r="HG108" s="507"/>
      <c r="HH108" s="507"/>
      <c r="HI108" s="507"/>
      <c r="HJ108" s="507"/>
      <c r="HK108" s="507"/>
      <c r="HL108" s="507"/>
      <c r="HM108" s="507"/>
      <c r="HN108" s="507"/>
      <c r="HO108" s="507"/>
      <c r="HP108" s="507"/>
      <c r="HQ108" s="507"/>
      <c r="HR108" s="507"/>
      <c r="HS108" s="507"/>
      <c r="HT108" s="507"/>
      <c r="HU108" s="507"/>
      <c r="HV108" s="507"/>
      <c r="HW108" s="507"/>
      <c r="HX108" s="507"/>
      <c r="HY108" s="507"/>
      <c r="HZ108" s="507"/>
      <c r="IA108" s="507"/>
      <c r="IB108" s="507"/>
      <c r="IC108" s="507"/>
      <c r="ID108" s="507"/>
      <c r="IL108" s="520"/>
      <c r="JA108" s="507"/>
    </row>
    <row r="109" spans="1:261" ht="12" customHeight="1">
      <c r="C109" s="2057"/>
      <c r="D109" s="2057"/>
      <c r="E109" s="116"/>
      <c r="F109" s="188"/>
      <c r="G109" s="87"/>
      <c r="H109" s="1205" t="s">
        <v>3545</v>
      </c>
      <c r="I109" s="87"/>
      <c r="J109" s="804">
        <f>J92</f>
        <v>0</v>
      </c>
      <c r="K109" s="804">
        <f t="shared" si="270"/>
        <v>0</v>
      </c>
      <c r="L109" s="804">
        <f t="shared" si="270"/>
        <v>0</v>
      </c>
      <c r="M109" s="804">
        <f t="shared" si="270"/>
        <v>0</v>
      </c>
      <c r="N109" s="804">
        <f t="shared" si="270"/>
        <v>0</v>
      </c>
      <c r="O109" s="804">
        <f t="shared" si="268"/>
        <v>0</v>
      </c>
      <c r="R109" s="457"/>
      <c r="S109" s="457"/>
      <c r="T109" s="457"/>
      <c r="U109" s="2845"/>
      <c r="V109" s="2846"/>
      <c r="W109" s="100"/>
      <c r="X109" s="100"/>
      <c r="Y109" s="95"/>
      <c r="Z109" s="100"/>
      <c r="AA109" s="54"/>
      <c r="AB109" s="757"/>
      <c r="AC109" s="757"/>
      <c r="AD109" s="757"/>
      <c r="AE109" s="757"/>
      <c r="AF109" s="757"/>
      <c r="AG109" s="757"/>
      <c r="AH109" s="531"/>
      <c r="GT109" s="507"/>
      <c r="GY109" s="507"/>
      <c r="GZ109" s="507"/>
      <c r="HA109" s="507"/>
      <c r="HB109" s="507"/>
      <c r="HC109" s="507"/>
      <c r="HD109" s="507"/>
      <c r="HE109" s="507"/>
      <c r="HF109" s="507"/>
      <c r="HG109" s="507"/>
      <c r="HH109" s="507"/>
      <c r="HI109" s="507"/>
      <c r="HJ109" s="507"/>
      <c r="HK109" s="507"/>
      <c r="HL109" s="507"/>
      <c r="HM109" s="507"/>
      <c r="HN109" s="507"/>
      <c r="HO109" s="507"/>
      <c r="HP109" s="507"/>
      <c r="HQ109" s="507"/>
      <c r="HR109" s="507"/>
      <c r="HS109" s="507"/>
      <c r="HT109" s="507"/>
      <c r="HU109" s="507"/>
      <c r="HV109" s="507"/>
      <c r="HW109" s="507"/>
      <c r="HX109" s="507"/>
      <c r="HY109" s="507"/>
      <c r="HZ109" s="507"/>
      <c r="IA109" s="507"/>
      <c r="IB109" s="507"/>
      <c r="IC109" s="507"/>
      <c r="ID109" s="507"/>
      <c r="IL109" s="520"/>
      <c r="JA109" s="507"/>
    </row>
    <row r="110" spans="1:261" ht="12" customHeight="1">
      <c r="C110" s="2057"/>
      <c r="D110" s="2057"/>
      <c r="E110" s="116" t="s">
        <v>3543</v>
      </c>
      <c r="F110" s="188"/>
      <c r="G110" s="87"/>
      <c r="H110" s="41"/>
      <c r="I110" s="87"/>
      <c r="J110" s="1381">
        <f>J89+J93</f>
        <v>3</v>
      </c>
      <c r="K110" s="1381">
        <f t="shared" ref="K110:N111" si="271">K89+K93</f>
        <v>205</v>
      </c>
      <c r="L110" s="1381">
        <f t="shared" si="271"/>
        <v>0</v>
      </c>
      <c r="M110" s="1381">
        <f t="shared" si="271"/>
        <v>0</v>
      </c>
      <c r="N110" s="1381">
        <f t="shared" si="271"/>
        <v>0</v>
      </c>
      <c r="O110" s="1381">
        <f t="shared" si="268"/>
        <v>208</v>
      </c>
      <c r="R110" s="457"/>
      <c r="S110" s="457"/>
      <c r="T110" s="457"/>
      <c r="U110" s="2845"/>
      <c r="V110" s="2846"/>
      <c r="W110" s="100"/>
      <c r="X110" s="100"/>
      <c r="Y110" s="95"/>
      <c r="Z110" s="100"/>
      <c r="AA110" s="54"/>
      <c r="AB110" s="757"/>
      <c r="AC110" s="757"/>
      <c r="AD110" s="757"/>
      <c r="AE110" s="757"/>
      <c r="AF110" s="757"/>
      <c r="AG110" s="757"/>
      <c r="AH110" s="531"/>
      <c r="GT110" s="507"/>
      <c r="GY110" s="507"/>
      <c r="GZ110" s="507"/>
      <c r="HA110" s="507"/>
      <c r="HB110" s="507"/>
      <c r="HC110" s="507"/>
      <c r="HD110" s="507"/>
      <c r="HE110" s="507"/>
      <c r="HF110" s="507"/>
      <c r="HG110" s="507"/>
      <c r="HH110" s="507"/>
      <c r="HI110" s="507"/>
      <c r="HJ110" s="507"/>
      <c r="HK110" s="507"/>
      <c r="HL110" s="507"/>
      <c r="HM110" s="507"/>
      <c r="HN110" s="507"/>
      <c r="HO110" s="507"/>
      <c r="HP110" s="507"/>
      <c r="HQ110" s="507"/>
      <c r="HR110" s="507"/>
      <c r="HS110" s="507"/>
      <c r="HT110" s="507"/>
      <c r="HU110" s="507"/>
      <c r="HV110" s="507"/>
      <c r="HW110" s="507"/>
      <c r="HX110" s="507"/>
      <c r="HY110" s="507"/>
      <c r="HZ110" s="507"/>
      <c r="IA110" s="507"/>
      <c r="IB110" s="507"/>
      <c r="IC110" s="507"/>
      <c r="ID110" s="507"/>
      <c r="IL110" s="520"/>
      <c r="JA110" s="507"/>
    </row>
    <row r="111" spans="1:261" ht="12" customHeight="1">
      <c r="C111" s="1"/>
      <c r="D111" s="1"/>
      <c r="E111" s="433"/>
      <c r="F111" s="188"/>
      <c r="G111" s="87"/>
      <c r="H111" s="1205" t="s">
        <v>3545</v>
      </c>
      <c r="I111" s="87"/>
      <c r="J111" s="1382">
        <f>J90+J94</f>
        <v>0</v>
      </c>
      <c r="K111" s="1382">
        <f t="shared" si="271"/>
        <v>0</v>
      </c>
      <c r="L111" s="1382">
        <f t="shared" si="271"/>
        <v>0</v>
      </c>
      <c r="M111" s="1382">
        <f t="shared" si="271"/>
        <v>0</v>
      </c>
      <c r="N111" s="1382">
        <f t="shared" si="271"/>
        <v>0</v>
      </c>
      <c r="O111" s="1382">
        <f t="shared" si="268"/>
        <v>0</v>
      </c>
      <c r="R111" s="457"/>
      <c r="S111" s="457"/>
      <c r="T111" s="457"/>
      <c r="U111" s="2849"/>
      <c r="V111" s="2850"/>
      <c r="W111" s="100"/>
      <c r="X111" s="100"/>
      <c r="Y111" s="95"/>
      <c r="Z111" s="100"/>
      <c r="AA111" s="54"/>
      <c r="AB111" s="757"/>
      <c r="AC111" s="757"/>
      <c r="AD111" s="757"/>
      <c r="AE111" s="757"/>
      <c r="AF111" s="757"/>
      <c r="AG111" s="757"/>
      <c r="AH111" s="531"/>
      <c r="GT111" s="507"/>
      <c r="GY111" s="507"/>
      <c r="GZ111" s="507"/>
      <c r="HA111" s="507"/>
      <c r="HB111" s="507"/>
      <c r="HC111" s="507"/>
      <c r="HD111" s="507"/>
      <c r="HE111" s="507"/>
      <c r="HF111" s="507"/>
      <c r="HG111" s="507"/>
      <c r="HH111" s="507"/>
      <c r="HI111" s="507"/>
      <c r="HJ111" s="507"/>
      <c r="HK111" s="507"/>
      <c r="HL111" s="507"/>
      <c r="HM111" s="507"/>
      <c r="HN111" s="507"/>
      <c r="HO111" s="507"/>
      <c r="HP111" s="507"/>
      <c r="HQ111" s="507"/>
      <c r="HR111" s="507"/>
      <c r="HS111" s="507"/>
      <c r="HT111" s="507"/>
      <c r="HU111" s="507"/>
      <c r="HV111" s="507"/>
      <c r="HW111" s="507"/>
      <c r="HX111" s="507"/>
      <c r="HY111" s="507"/>
      <c r="HZ111" s="507"/>
      <c r="IA111" s="507"/>
      <c r="IB111" s="507"/>
      <c r="IC111" s="507"/>
      <c r="ID111" s="507"/>
      <c r="IL111" s="520"/>
      <c r="JA111" s="507"/>
    </row>
    <row r="112" spans="1:261" ht="12" customHeight="1">
      <c r="A112" s="14"/>
      <c r="B112" s="14" t="s">
        <v>2243</v>
      </c>
      <c r="C112" s="1"/>
      <c r="D112" s="1"/>
      <c r="E112" s="1"/>
      <c r="F112" s="1"/>
      <c r="G112" s="87"/>
      <c r="H112" s="41"/>
      <c r="I112" s="87"/>
      <c r="J112" s="805"/>
      <c r="K112" s="805"/>
      <c r="L112" s="805"/>
      <c r="M112" s="805"/>
      <c r="N112" s="805"/>
      <c r="O112" s="805"/>
      <c r="R112" s="457"/>
      <c r="S112" s="457"/>
      <c r="T112" s="457"/>
      <c r="U112" s="348" t="str">
        <f>B112</f>
        <v>Unit Square Footage:</v>
      </c>
      <c r="V112" s="456" t="s">
        <v>1178</v>
      </c>
      <c r="W112" s="533"/>
      <c r="X112" s="533"/>
      <c r="Y112" s="533"/>
      <c r="Z112" s="533"/>
      <c r="AA112" s="54"/>
      <c r="AB112" s="533"/>
      <c r="AC112" s="533"/>
      <c r="AD112" s="533"/>
      <c r="AE112" s="533"/>
      <c r="AF112" s="533"/>
      <c r="AG112" s="533"/>
      <c r="AH112" s="531"/>
      <c r="AI112" s="100"/>
      <c r="IL112" s="520"/>
      <c r="JA112" s="507"/>
    </row>
    <row r="113" spans="1:263" ht="12" customHeight="1">
      <c r="C113" s="5" t="s">
        <v>2214</v>
      </c>
      <c r="D113" s="1"/>
      <c r="E113" s="1"/>
      <c r="F113" s="1"/>
      <c r="G113" s="87"/>
      <c r="H113" s="41" t="s">
        <v>1191</v>
      </c>
      <c r="I113" s="87"/>
      <c r="J113" s="1383">
        <f>BZ48</f>
        <v>1245</v>
      </c>
      <c r="K113" s="1383">
        <f>CA48</f>
        <v>110109</v>
      </c>
      <c r="L113" s="1383">
        <f>CB48</f>
        <v>0</v>
      </c>
      <c r="M113" s="1383">
        <f>CC48</f>
        <v>0</v>
      </c>
      <c r="N113" s="1383">
        <f>CD48</f>
        <v>0</v>
      </c>
      <c r="O113" s="1383">
        <f t="shared" ref="O113:O119" si="272">SUM(J113:N113)</f>
        <v>111354</v>
      </c>
      <c r="R113" s="457"/>
      <c r="S113" s="457"/>
      <c r="T113" s="457"/>
      <c r="U113" s="2743"/>
      <c r="V113" s="2744"/>
      <c r="W113" s="533"/>
      <c r="X113" s="533"/>
      <c r="Y113" s="533"/>
      <c r="Z113" s="533"/>
      <c r="AA113" s="54"/>
      <c r="AB113" s="757"/>
      <c r="AC113" s="757"/>
      <c r="AD113" s="757"/>
      <c r="AE113" s="757"/>
      <c r="AF113" s="757"/>
      <c r="AG113" s="757"/>
      <c r="AH113" s="531"/>
      <c r="AI113" s="100"/>
      <c r="IL113" s="520"/>
      <c r="JA113" s="507"/>
    </row>
    <row r="114" spans="1:263" ht="12" customHeight="1">
      <c r="C114" s="4"/>
      <c r="D114" s="1"/>
      <c r="E114" s="1"/>
      <c r="F114" s="1"/>
      <c r="G114" s="87"/>
      <c r="H114" s="41" t="s">
        <v>120</v>
      </c>
      <c r="I114" s="87"/>
      <c r="J114" s="1384">
        <f>CE48</f>
        <v>0</v>
      </c>
      <c r="K114" s="1384">
        <f>CF48</f>
        <v>0</v>
      </c>
      <c r="L114" s="1384">
        <f>CG48</f>
        <v>0</v>
      </c>
      <c r="M114" s="1384">
        <f>CH48</f>
        <v>0</v>
      </c>
      <c r="N114" s="1384">
        <f>CI48</f>
        <v>0</v>
      </c>
      <c r="O114" s="1384">
        <f t="shared" si="272"/>
        <v>0</v>
      </c>
      <c r="R114" s="457"/>
      <c r="S114" s="457"/>
      <c r="T114" s="457"/>
      <c r="U114" s="2745"/>
      <c r="V114" s="2746"/>
      <c r="W114" s="10"/>
      <c r="X114" s="533"/>
      <c r="Y114" s="533"/>
      <c r="Z114" s="533"/>
      <c r="AA114" s="54"/>
      <c r="AB114" s="757"/>
      <c r="AC114" s="757"/>
      <c r="AD114" s="757"/>
      <c r="AE114" s="757"/>
      <c r="AF114" s="757"/>
      <c r="AG114" s="757"/>
      <c r="AH114" s="533"/>
      <c r="AI114" s="100"/>
      <c r="IL114" s="520"/>
      <c r="JA114" s="507"/>
    </row>
    <row r="115" spans="1:263" ht="12" customHeight="1">
      <c r="C115" s="4"/>
      <c r="D115" s="1"/>
      <c r="E115" s="1"/>
      <c r="F115" s="1"/>
      <c r="G115" s="87"/>
      <c r="H115" s="41" t="s">
        <v>558</v>
      </c>
      <c r="I115" s="87"/>
      <c r="J115" s="806">
        <f>SUM(J113:J114)</f>
        <v>1245</v>
      </c>
      <c r="K115" s="806">
        <f>SUM(K113:K114)</f>
        <v>110109</v>
      </c>
      <c r="L115" s="806">
        <f>SUM(L113:L114)</f>
        <v>0</v>
      </c>
      <c r="M115" s="806">
        <f>SUM(M113:M114)</f>
        <v>0</v>
      </c>
      <c r="N115" s="806">
        <f>SUM(N113:N114)</f>
        <v>0</v>
      </c>
      <c r="O115" s="806">
        <f t="shared" si="272"/>
        <v>111354</v>
      </c>
      <c r="R115" s="457"/>
      <c r="S115" s="457"/>
      <c r="T115" s="457"/>
      <c r="U115" s="2745"/>
      <c r="V115" s="2746"/>
      <c r="W115" s="10"/>
      <c r="X115" s="533"/>
      <c r="Y115" s="533"/>
      <c r="Z115" s="533"/>
      <c r="AA115" s="54"/>
      <c r="AB115" s="757"/>
      <c r="AC115" s="757"/>
      <c r="AD115" s="757"/>
      <c r="AE115" s="757"/>
      <c r="AF115" s="757"/>
      <c r="AG115" s="757"/>
      <c r="AH115" s="533"/>
      <c r="AI115" s="100"/>
      <c r="IL115" s="520"/>
      <c r="JA115" s="507"/>
    </row>
    <row r="116" spans="1:263" ht="12" customHeight="1">
      <c r="C116" s="1" t="s">
        <v>316</v>
      </c>
      <c r="D116" s="1"/>
      <c r="E116" s="1"/>
      <c r="F116" s="1"/>
      <c r="G116" s="1"/>
      <c r="H116" s="87"/>
      <c r="I116" s="87"/>
      <c r="J116" s="807">
        <f>CO48</f>
        <v>0</v>
      </c>
      <c r="K116" s="807">
        <f>CP48</f>
        <v>0</v>
      </c>
      <c r="L116" s="807">
        <f>CQ48</f>
        <v>0</v>
      </c>
      <c r="M116" s="807">
        <f>CR48</f>
        <v>0</v>
      </c>
      <c r="N116" s="807">
        <f>CS48</f>
        <v>0</v>
      </c>
      <c r="O116" s="807">
        <f t="shared" si="272"/>
        <v>0</v>
      </c>
      <c r="R116" s="457"/>
      <c r="S116" s="457"/>
      <c r="T116" s="457"/>
      <c r="U116" s="2745"/>
      <c r="V116" s="2746"/>
      <c r="W116" s="100"/>
      <c r="X116" s="533"/>
      <c r="Y116" s="533"/>
      <c r="Z116" s="533"/>
      <c r="AA116" s="533"/>
      <c r="AB116" s="757"/>
      <c r="AC116" s="757"/>
      <c r="AD116" s="757"/>
      <c r="AE116" s="757"/>
      <c r="AF116" s="757"/>
      <c r="AG116" s="757"/>
      <c r="AH116" s="531"/>
      <c r="AI116" s="100"/>
      <c r="IL116" s="520"/>
      <c r="JA116" s="507"/>
    </row>
    <row r="117" spans="1:263" ht="12" customHeight="1">
      <c r="C117" s="5" t="s">
        <v>1180</v>
      </c>
      <c r="D117" s="1"/>
      <c r="E117" s="1"/>
      <c r="F117" s="1"/>
      <c r="G117" s="1"/>
      <c r="H117" s="87"/>
      <c r="I117" s="87"/>
      <c r="J117" s="806">
        <f>SUM(J115:J116)</f>
        <v>1245</v>
      </c>
      <c r="K117" s="806">
        <f>SUM(K115:K116)</f>
        <v>110109</v>
      </c>
      <c r="L117" s="806">
        <f>SUM(L115:L116)</f>
        <v>0</v>
      </c>
      <c r="M117" s="806">
        <f>SUM(M115:M116)</f>
        <v>0</v>
      </c>
      <c r="N117" s="806">
        <f>SUM(N115:N116)</f>
        <v>0</v>
      </c>
      <c r="O117" s="806">
        <f t="shared" si="272"/>
        <v>111354</v>
      </c>
      <c r="R117" s="457"/>
      <c r="S117" s="457"/>
      <c r="T117" s="457"/>
      <c r="U117" s="2745"/>
      <c r="V117" s="2746"/>
      <c r="W117" s="533"/>
      <c r="X117" s="533"/>
      <c r="Y117" s="533"/>
      <c r="Z117" s="533"/>
      <c r="AA117" s="533"/>
      <c r="AB117" s="757"/>
      <c r="AC117" s="757"/>
      <c r="AD117" s="757"/>
      <c r="AE117" s="757"/>
      <c r="AF117" s="757"/>
      <c r="AG117" s="757"/>
      <c r="AH117" s="531"/>
      <c r="AI117" s="100"/>
      <c r="IL117" s="520"/>
      <c r="JA117" s="507"/>
    </row>
    <row r="118" spans="1:263" ht="12" customHeight="1">
      <c r="C118" s="5" t="s">
        <v>2598</v>
      </c>
      <c r="D118" s="1"/>
      <c r="E118" s="1"/>
      <c r="F118" s="1"/>
      <c r="G118" s="1"/>
      <c r="H118" s="87"/>
      <c r="I118" s="87"/>
      <c r="J118" s="807">
        <f>CY48</f>
        <v>0</v>
      </c>
      <c r="K118" s="807">
        <f>CZ48</f>
        <v>0</v>
      </c>
      <c r="L118" s="807">
        <f>DA48</f>
        <v>0</v>
      </c>
      <c r="M118" s="807">
        <f>DB48</f>
        <v>0</v>
      </c>
      <c r="N118" s="807">
        <f>DC48</f>
        <v>0</v>
      </c>
      <c r="O118" s="807">
        <f t="shared" si="272"/>
        <v>0</v>
      </c>
      <c r="R118" s="457"/>
      <c r="S118" s="457"/>
      <c r="T118" s="457"/>
      <c r="U118" s="2745"/>
      <c r="V118" s="2746"/>
      <c r="W118" s="533"/>
      <c r="X118" s="533"/>
      <c r="Y118" s="533"/>
      <c r="Z118" s="533"/>
      <c r="AA118" s="533"/>
      <c r="AB118" s="757"/>
      <c r="AC118" s="757"/>
      <c r="AD118" s="757"/>
      <c r="AE118" s="757"/>
      <c r="AF118" s="757"/>
      <c r="AG118" s="757"/>
      <c r="AH118" s="531"/>
      <c r="AI118" s="100"/>
      <c r="IL118" s="520"/>
      <c r="JA118" s="507"/>
    </row>
    <row r="119" spans="1:263" ht="12" customHeight="1">
      <c r="C119" s="5" t="s">
        <v>558</v>
      </c>
      <c r="D119" s="1"/>
      <c r="E119" s="1"/>
      <c r="F119" s="1"/>
      <c r="G119" s="1"/>
      <c r="H119" s="87"/>
      <c r="I119" s="87"/>
      <c r="J119" s="808">
        <f>SUM(J117:J118)</f>
        <v>1245</v>
      </c>
      <c r="K119" s="808">
        <f>SUM(K117:K118)</f>
        <v>110109</v>
      </c>
      <c r="L119" s="808">
        <f>SUM(L117:L118)</f>
        <v>0</v>
      </c>
      <c r="M119" s="808">
        <f>SUM(M117:M118)</f>
        <v>0</v>
      </c>
      <c r="N119" s="808">
        <f>SUM(N117:N118)</f>
        <v>0</v>
      </c>
      <c r="O119" s="808">
        <f t="shared" si="272"/>
        <v>111354</v>
      </c>
      <c r="R119" s="457"/>
      <c r="S119" s="457"/>
      <c r="T119" s="457"/>
      <c r="U119" s="2748"/>
      <c r="V119" s="2749"/>
      <c r="W119" s="533"/>
      <c r="X119" s="533"/>
      <c r="Y119" s="533"/>
      <c r="Z119" s="533"/>
      <c r="AA119" s="533"/>
      <c r="AB119" s="757"/>
      <c r="AC119" s="757"/>
      <c r="AD119" s="757"/>
      <c r="AE119" s="757"/>
      <c r="AF119" s="757"/>
      <c r="AG119" s="757"/>
      <c r="AH119" s="531"/>
      <c r="AI119" s="100"/>
      <c r="IL119" s="520"/>
      <c r="JA119" s="507"/>
    </row>
    <row r="120" spans="1:263" ht="13.9" customHeight="1">
      <c r="A120" s="14" t="s">
        <v>772</v>
      </c>
      <c r="B120" s="14" t="s">
        <v>234</v>
      </c>
      <c r="P120" s="8"/>
      <c r="Q120" s="8"/>
      <c r="R120" s="458"/>
      <c r="S120" s="458"/>
      <c r="T120" s="458"/>
      <c r="U120" s="14" t="s">
        <v>1915</v>
      </c>
      <c r="GT120" s="507"/>
      <c r="GY120" s="507"/>
      <c r="IE120" s="516"/>
      <c r="IK120" s="507"/>
      <c r="IL120" s="520"/>
      <c r="JA120" s="507"/>
      <c r="JC120" s="520"/>
    </row>
    <row r="121" spans="1:263" ht="2.25" customHeight="1">
      <c r="P121" s="458"/>
      <c r="Q121" s="458"/>
    </row>
    <row r="122" spans="1:263" ht="11.25" customHeight="1">
      <c r="B122" s="1312" t="s">
        <v>1053</v>
      </c>
      <c r="C122" s="95"/>
      <c r="D122" s="116"/>
      <c r="E122" s="95"/>
      <c r="F122" s="95"/>
      <c r="G122" s="95"/>
      <c r="H122" s="2851">
        <f>'Part VII-Pro Forma'!B9*L49</f>
        <v>49830</v>
      </c>
      <c r="I122" s="2852"/>
      <c r="J122" s="95"/>
      <c r="K122" s="564" t="s">
        <v>2857</v>
      </c>
      <c r="L122" s="95"/>
      <c r="M122" s="95"/>
      <c r="N122" s="95"/>
      <c r="O122" s="1313">
        <f>H122/L49</f>
        <v>0.02</v>
      </c>
      <c r="P122" s="418"/>
      <c r="Q122" s="418"/>
      <c r="U122" s="4" t="str">
        <f>B122</f>
        <v>Ancillary Income</v>
      </c>
    </row>
    <row r="123" spans="1:263" ht="2.25" customHeight="1">
      <c r="B123" s="1312"/>
      <c r="C123" s="95"/>
      <c r="D123" s="116"/>
      <c r="E123" s="1314"/>
      <c r="F123" s="95"/>
      <c r="G123" s="95"/>
      <c r="H123" s="95"/>
      <c r="I123" s="114"/>
      <c r="J123" s="95"/>
      <c r="K123" s="95"/>
      <c r="L123" s="95"/>
      <c r="M123" s="95"/>
      <c r="N123" s="95"/>
      <c r="O123" s="95"/>
      <c r="P123" s="418"/>
      <c r="Q123" s="418"/>
    </row>
    <row r="124" spans="1:263" ht="11.25" customHeight="1">
      <c r="B124" s="1312" t="s">
        <v>1501</v>
      </c>
      <c r="C124" s="95"/>
      <c r="D124" s="95"/>
      <c r="E124" s="95"/>
      <c r="F124" s="95"/>
      <c r="G124" s="95"/>
      <c r="H124" s="95"/>
      <c r="I124" s="1312"/>
      <c r="J124" s="95"/>
      <c r="K124" s="1315"/>
      <c r="L124" s="95"/>
      <c r="M124" s="95"/>
      <c r="N124" s="95"/>
      <c r="O124" s="95"/>
      <c r="P124" s="118"/>
      <c r="U124" s="4" t="str">
        <f>B124</f>
        <v>Other Income (OI) by Year:</v>
      </c>
    </row>
    <row r="125" spans="1:263" ht="11.25" customHeight="1">
      <c r="B125" s="1316" t="s">
        <v>2366</v>
      </c>
      <c r="C125" s="95"/>
      <c r="D125" s="95"/>
      <c r="E125" s="95"/>
      <c r="F125" s="95"/>
      <c r="G125" s="1317">
        <v>1</v>
      </c>
      <c r="H125" s="1317">
        <v>2</v>
      </c>
      <c r="I125" s="1317">
        <v>3</v>
      </c>
      <c r="J125" s="1317">
        <v>4</v>
      </c>
      <c r="K125" s="1318">
        <v>5</v>
      </c>
      <c r="L125" s="1317">
        <v>6</v>
      </c>
      <c r="M125" s="1317">
        <v>7</v>
      </c>
      <c r="N125" s="1317">
        <v>8</v>
      </c>
      <c r="O125" s="1317">
        <v>9</v>
      </c>
      <c r="P125" s="1317">
        <v>10</v>
      </c>
      <c r="Q125" s="849"/>
      <c r="U125" s="100" t="str">
        <f>B125</f>
        <v>Included in Mgt Fee:</v>
      </c>
    </row>
    <row r="126" spans="1:263" ht="11.25" customHeight="1">
      <c r="B126" s="116" t="s">
        <v>1054</v>
      </c>
      <c r="C126" s="116"/>
      <c r="D126" s="116"/>
      <c r="E126" s="116"/>
      <c r="F126" s="116"/>
      <c r="G126" s="2853"/>
      <c r="H126" s="2853"/>
      <c r="I126" s="2853"/>
      <c r="J126" s="2853"/>
      <c r="K126" s="2854"/>
      <c r="L126" s="2853"/>
      <c r="M126" s="2853"/>
      <c r="N126" s="2853"/>
      <c r="O126" s="2853"/>
      <c r="P126" s="2853"/>
      <c r="Q126" s="1164"/>
      <c r="U126" s="2743"/>
      <c r="V126" s="2744"/>
    </row>
    <row r="127" spans="1:263" ht="11.25" customHeight="1">
      <c r="B127" s="116" t="s">
        <v>771</v>
      </c>
      <c r="C127" s="2855"/>
      <c r="D127" s="2856"/>
      <c r="E127" s="2856"/>
      <c r="F127" s="2857"/>
      <c r="G127" s="2858"/>
      <c r="H127" s="2858"/>
      <c r="I127" s="2858"/>
      <c r="J127" s="2858"/>
      <c r="K127" s="2859"/>
      <c r="L127" s="2858"/>
      <c r="M127" s="2858"/>
      <c r="N127" s="2858"/>
      <c r="O127" s="2858"/>
      <c r="P127" s="2858"/>
      <c r="Q127" s="1164"/>
      <c r="U127" s="2745"/>
      <c r="V127" s="2746"/>
    </row>
    <row r="128" spans="1:263" ht="11.25" customHeight="1">
      <c r="B128" s="116"/>
      <c r="C128" s="116" t="s">
        <v>961</v>
      </c>
      <c r="D128" s="116"/>
      <c r="E128" s="116"/>
      <c r="F128" s="116"/>
      <c r="G128" s="1319">
        <f t="shared" ref="G128:P128" si="273">SUM(G126:G127)</f>
        <v>0</v>
      </c>
      <c r="H128" s="1319">
        <f t="shared" si="273"/>
        <v>0</v>
      </c>
      <c r="I128" s="1319">
        <f t="shared" si="273"/>
        <v>0</v>
      </c>
      <c r="J128" s="1319">
        <f t="shared" si="273"/>
        <v>0</v>
      </c>
      <c r="K128" s="1319">
        <f t="shared" si="273"/>
        <v>0</v>
      </c>
      <c r="L128" s="1319">
        <f t="shared" si="273"/>
        <v>0</v>
      </c>
      <c r="M128" s="1319">
        <f t="shared" si="273"/>
        <v>0</v>
      </c>
      <c r="N128" s="1319">
        <f t="shared" si="273"/>
        <v>0</v>
      </c>
      <c r="O128" s="1319">
        <f t="shared" si="273"/>
        <v>0</v>
      </c>
      <c r="P128" s="1319">
        <f t="shared" si="273"/>
        <v>0</v>
      </c>
      <c r="Q128" s="128"/>
      <c r="U128" s="2748"/>
      <c r="V128" s="2749"/>
    </row>
    <row r="129" spans="2:22" ht="11.25" customHeight="1">
      <c r="B129" s="1320" t="s">
        <v>4114</v>
      </c>
      <c r="C129" s="95"/>
      <c r="D129" s="95"/>
      <c r="E129" s="95"/>
      <c r="F129" s="95"/>
      <c r="G129" s="1321"/>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2853"/>
      <c r="H130" s="2853"/>
      <c r="I130" s="2853"/>
      <c r="J130" s="2853"/>
      <c r="K130" s="2854"/>
      <c r="L130" s="2853"/>
      <c r="M130" s="2853"/>
      <c r="N130" s="2853"/>
      <c r="O130" s="2853"/>
      <c r="P130" s="2853"/>
      <c r="Q130" s="1164"/>
      <c r="U130" s="2743"/>
      <c r="V130" s="2744"/>
    </row>
    <row r="131" spans="2:22" ht="11.25" customHeight="1">
      <c r="B131" s="116" t="s">
        <v>771</v>
      </c>
      <c r="C131" s="2855"/>
      <c r="D131" s="2856"/>
      <c r="E131" s="2856"/>
      <c r="F131" s="2857"/>
      <c r="G131" s="2858"/>
      <c r="H131" s="2858"/>
      <c r="I131" s="2858"/>
      <c r="J131" s="2858"/>
      <c r="K131" s="2859"/>
      <c r="L131" s="2858"/>
      <c r="M131" s="2858"/>
      <c r="N131" s="2858"/>
      <c r="O131" s="2858"/>
      <c r="P131" s="2858"/>
      <c r="Q131" s="1164"/>
      <c r="U131" s="2745"/>
      <c r="V131" s="2746"/>
    </row>
    <row r="132" spans="2:22" ht="11.25" customHeight="1">
      <c r="B132" s="116"/>
      <c r="C132" s="116" t="s">
        <v>198</v>
      </c>
      <c r="D132" s="116"/>
      <c r="E132" s="116"/>
      <c r="F132" s="116"/>
      <c r="G132" s="1319">
        <f t="shared" ref="G132:P132" si="274">SUM(G130:G131)</f>
        <v>0</v>
      </c>
      <c r="H132" s="1319">
        <f t="shared" si="274"/>
        <v>0</v>
      </c>
      <c r="I132" s="1319">
        <f t="shared" si="274"/>
        <v>0</v>
      </c>
      <c r="J132" s="1319">
        <f t="shared" si="274"/>
        <v>0</v>
      </c>
      <c r="K132" s="1319">
        <f t="shared" si="274"/>
        <v>0</v>
      </c>
      <c r="L132" s="1319">
        <f t="shared" si="274"/>
        <v>0</v>
      </c>
      <c r="M132" s="1319">
        <f t="shared" si="274"/>
        <v>0</v>
      </c>
      <c r="N132" s="1319">
        <f t="shared" si="274"/>
        <v>0</v>
      </c>
      <c r="O132" s="1319">
        <f t="shared" si="274"/>
        <v>0</v>
      </c>
      <c r="P132" s="1319">
        <f t="shared" si="274"/>
        <v>0</v>
      </c>
      <c r="Q132" s="128"/>
      <c r="U132" s="2748"/>
      <c r="V132" s="2749"/>
    </row>
    <row r="133" spans="2:22" ht="3" customHeight="1">
      <c r="B133" s="1312"/>
      <c r="C133" s="95"/>
      <c r="D133" s="95"/>
      <c r="E133" s="95"/>
      <c r="F133" s="95"/>
      <c r="G133" s="1321"/>
      <c r="H133" s="95"/>
      <c r="I133" s="95"/>
      <c r="J133" s="95"/>
      <c r="K133" s="95"/>
      <c r="L133" s="95"/>
      <c r="M133" s="95"/>
      <c r="N133" s="95"/>
      <c r="O133" s="95"/>
      <c r="P133" s="95"/>
      <c r="Q133" s="8"/>
      <c r="U133" s="180" t="s">
        <v>2710</v>
      </c>
    </row>
    <row r="134" spans="2:22" ht="11.25" customHeight="1">
      <c r="B134" s="1316" t="s">
        <v>2366</v>
      </c>
      <c r="C134" s="95"/>
      <c r="D134" s="95"/>
      <c r="E134" s="95"/>
      <c r="F134" s="95"/>
      <c r="G134" s="1317">
        <v>11</v>
      </c>
      <c r="H134" s="1317">
        <v>12</v>
      </c>
      <c r="I134" s="1317">
        <v>13</v>
      </c>
      <c r="J134" s="1317">
        <v>14</v>
      </c>
      <c r="K134" s="1317">
        <v>15</v>
      </c>
      <c r="L134" s="1317">
        <v>16</v>
      </c>
      <c r="M134" s="1317">
        <v>17</v>
      </c>
      <c r="N134" s="1317">
        <v>18</v>
      </c>
      <c r="O134" s="1317">
        <v>19</v>
      </c>
      <c r="P134" s="1317">
        <v>20</v>
      </c>
      <c r="Q134" s="849"/>
      <c r="U134" s="100" t="str">
        <f>B134</f>
        <v>Included in Mgt Fee:</v>
      </c>
    </row>
    <row r="135" spans="2:22" ht="11.25" customHeight="1">
      <c r="B135" s="116" t="s">
        <v>1054</v>
      </c>
      <c r="C135" s="116"/>
      <c r="D135" s="116"/>
      <c r="E135" s="116"/>
      <c r="F135" s="116"/>
      <c r="G135" s="2853"/>
      <c r="H135" s="2853"/>
      <c r="I135" s="2853"/>
      <c r="J135" s="2853"/>
      <c r="K135" s="2854"/>
      <c r="L135" s="2853"/>
      <c r="M135" s="2853"/>
      <c r="N135" s="2853"/>
      <c r="O135" s="2853"/>
      <c r="P135" s="2853"/>
      <c r="Q135" s="1164"/>
      <c r="U135" s="2743"/>
      <c r="V135" s="2744"/>
    </row>
    <row r="136" spans="2:22" ht="11.25" customHeight="1">
      <c r="B136" s="116" t="s">
        <v>771</v>
      </c>
      <c r="C136" s="2855"/>
      <c r="D136" s="2856"/>
      <c r="E136" s="2856"/>
      <c r="F136" s="2857"/>
      <c r="G136" s="2858"/>
      <c r="H136" s="2858"/>
      <c r="I136" s="2858"/>
      <c r="J136" s="2858"/>
      <c r="K136" s="2859"/>
      <c r="L136" s="2858"/>
      <c r="M136" s="2858"/>
      <c r="N136" s="2858"/>
      <c r="O136" s="2858"/>
      <c r="P136" s="2858"/>
      <c r="Q136" s="1164"/>
      <c r="U136" s="2745"/>
      <c r="V136" s="2746"/>
    </row>
    <row r="137" spans="2:22" ht="11.25" customHeight="1">
      <c r="B137" s="116"/>
      <c r="C137" s="116" t="s">
        <v>961</v>
      </c>
      <c r="D137" s="116"/>
      <c r="E137" s="116"/>
      <c r="F137" s="116"/>
      <c r="G137" s="1319">
        <f t="shared" ref="G137:P137" si="275">SUM(G135:G136)</f>
        <v>0</v>
      </c>
      <c r="H137" s="1319">
        <f t="shared" si="275"/>
        <v>0</v>
      </c>
      <c r="I137" s="1319">
        <f t="shared" si="275"/>
        <v>0</v>
      </c>
      <c r="J137" s="1319">
        <f t="shared" si="275"/>
        <v>0</v>
      </c>
      <c r="K137" s="1319">
        <f t="shared" si="275"/>
        <v>0</v>
      </c>
      <c r="L137" s="1319">
        <f t="shared" si="275"/>
        <v>0</v>
      </c>
      <c r="M137" s="1319">
        <f t="shared" si="275"/>
        <v>0</v>
      </c>
      <c r="N137" s="1319">
        <f t="shared" si="275"/>
        <v>0</v>
      </c>
      <c r="O137" s="1319">
        <f t="shared" si="275"/>
        <v>0</v>
      </c>
      <c r="P137" s="1319">
        <f t="shared" si="275"/>
        <v>0</v>
      </c>
      <c r="Q137" s="128"/>
      <c r="U137" s="2748"/>
      <c r="V137" s="2749"/>
    </row>
    <row r="138" spans="2:22" ht="11.25" customHeight="1">
      <c r="B138" s="1320" t="s">
        <v>4114</v>
      </c>
      <c r="C138" s="95"/>
      <c r="D138" s="95"/>
      <c r="E138" s="95"/>
      <c r="F138" s="95"/>
      <c r="G138" s="1321"/>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2853"/>
      <c r="H139" s="2853"/>
      <c r="I139" s="2853"/>
      <c r="J139" s="2853"/>
      <c r="K139" s="2854"/>
      <c r="L139" s="2853"/>
      <c r="M139" s="2853"/>
      <c r="N139" s="2853"/>
      <c r="O139" s="2853"/>
      <c r="P139" s="2853"/>
      <c r="Q139" s="1164"/>
      <c r="U139" s="2743"/>
      <c r="V139" s="2744"/>
    </row>
    <row r="140" spans="2:22" ht="11.25" customHeight="1">
      <c r="B140" s="116" t="s">
        <v>771</v>
      </c>
      <c r="C140" s="2855"/>
      <c r="D140" s="2856"/>
      <c r="E140" s="2856"/>
      <c r="F140" s="2857"/>
      <c r="G140" s="2858"/>
      <c r="H140" s="2858"/>
      <c r="I140" s="2858"/>
      <c r="J140" s="2858"/>
      <c r="K140" s="2859"/>
      <c r="L140" s="2858"/>
      <c r="M140" s="2858"/>
      <c r="N140" s="2858"/>
      <c r="O140" s="2858"/>
      <c r="P140" s="2858"/>
      <c r="Q140" s="1164"/>
      <c r="U140" s="2745"/>
      <c r="V140" s="2746"/>
    </row>
    <row r="141" spans="2:22" ht="11.25" customHeight="1">
      <c r="B141" s="116"/>
      <c r="C141" s="116" t="s">
        <v>198</v>
      </c>
      <c r="D141" s="116"/>
      <c r="E141" s="116"/>
      <c r="F141" s="116"/>
      <c r="G141" s="1319">
        <f t="shared" ref="G141:P141" si="276">SUM(G139:G140)</f>
        <v>0</v>
      </c>
      <c r="H141" s="1319">
        <f t="shared" si="276"/>
        <v>0</v>
      </c>
      <c r="I141" s="1319">
        <f t="shared" si="276"/>
        <v>0</v>
      </c>
      <c r="J141" s="1319">
        <f t="shared" si="276"/>
        <v>0</v>
      </c>
      <c r="K141" s="1319">
        <f t="shared" si="276"/>
        <v>0</v>
      </c>
      <c r="L141" s="1319">
        <f t="shared" si="276"/>
        <v>0</v>
      </c>
      <c r="M141" s="1319">
        <f t="shared" si="276"/>
        <v>0</v>
      </c>
      <c r="N141" s="1319">
        <f t="shared" si="276"/>
        <v>0</v>
      </c>
      <c r="O141" s="1319">
        <f t="shared" si="276"/>
        <v>0</v>
      </c>
      <c r="P141" s="1319">
        <f t="shared" si="276"/>
        <v>0</v>
      </c>
      <c r="Q141" s="128"/>
      <c r="U141" s="2748"/>
      <c r="V141" s="2749"/>
    </row>
    <row r="142" spans="2:22" ht="3" customHeight="1">
      <c r="B142" s="1312"/>
      <c r="C142" s="95"/>
      <c r="D142" s="95"/>
      <c r="E142" s="95"/>
      <c r="F142" s="95"/>
      <c r="G142" s="1321"/>
      <c r="H142" s="95"/>
      <c r="I142" s="95"/>
      <c r="J142" s="95"/>
      <c r="K142" s="95"/>
      <c r="L142" s="95"/>
      <c r="M142" s="95"/>
      <c r="N142" s="95"/>
      <c r="O142" s="95"/>
      <c r="P142" s="95"/>
      <c r="Q142" s="8"/>
      <c r="U142" s="180" t="s">
        <v>2711</v>
      </c>
    </row>
    <row r="143" spans="2:22" ht="11.25" customHeight="1">
      <c r="B143" s="1316" t="s">
        <v>2366</v>
      </c>
      <c r="C143" s="95"/>
      <c r="D143" s="95"/>
      <c r="E143" s="95"/>
      <c r="F143" s="95"/>
      <c r="G143" s="1317">
        <v>21</v>
      </c>
      <c r="H143" s="1317">
        <v>22</v>
      </c>
      <c r="I143" s="1317">
        <v>23</v>
      </c>
      <c r="J143" s="1317">
        <v>24</v>
      </c>
      <c r="K143" s="1317">
        <v>25</v>
      </c>
      <c r="L143" s="1317">
        <v>26</v>
      </c>
      <c r="M143" s="1317">
        <v>27</v>
      </c>
      <c r="N143" s="1317">
        <v>28</v>
      </c>
      <c r="O143" s="1317">
        <v>29</v>
      </c>
      <c r="P143" s="1317">
        <v>30</v>
      </c>
      <c r="Q143" s="849"/>
      <c r="U143" s="100" t="str">
        <f>B143</f>
        <v>Included in Mgt Fee:</v>
      </c>
    </row>
    <row r="144" spans="2:22" ht="11.25" customHeight="1">
      <c r="B144" s="116" t="s">
        <v>1054</v>
      </c>
      <c r="C144" s="116"/>
      <c r="D144" s="116"/>
      <c r="E144" s="116"/>
      <c r="F144" s="116"/>
      <c r="G144" s="2853"/>
      <c r="H144" s="2853"/>
      <c r="I144" s="2853"/>
      <c r="J144" s="2853"/>
      <c r="K144" s="2854"/>
      <c r="L144" s="2853"/>
      <c r="M144" s="2853"/>
      <c r="N144" s="2853"/>
      <c r="O144" s="2853"/>
      <c r="P144" s="2853"/>
      <c r="Q144" s="1164"/>
      <c r="U144" s="2743"/>
      <c r="V144" s="2744"/>
    </row>
    <row r="145" spans="2:22" ht="11.25" customHeight="1">
      <c r="B145" s="116" t="s">
        <v>771</v>
      </c>
      <c r="C145" s="2855"/>
      <c r="D145" s="2856"/>
      <c r="E145" s="2856"/>
      <c r="F145" s="2857"/>
      <c r="G145" s="2858"/>
      <c r="H145" s="2858"/>
      <c r="I145" s="2858"/>
      <c r="J145" s="2858"/>
      <c r="K145" s="2859"/>
      <c r="L145" s="2858"/>
      <c r="M145" s="2858"/>
      <c r="N145" s="2858"/>
      <c r="O145" s="2858"/>
      <c r="P145" s="2858"/>
      <c r="Q145" s="1164"/>
      <c r="U145" s="2745"/>
      <c r="V145" s="2746"/>
    </row>
    <row r="146" spans="2:22" ht="11.25" customHeight="1">
      <c r="B146" s="116"/>
      <c r="C146" s="116" t="s">
        <v>961</v>
      </c>
      <c r="D146" s="116"/>
      <c r="E146" s="116"/>
      <c r="F146" s="116"/>
      <c r="G146" s="1319">
        <f t="shared" ref="G146:P146" si="277">SUM(G144:G145)</f>
        <v>0</v>
      </c>
      <c r="H146" s="1319">
        <f t="shared" si="277"/>
        <v>0</v>
      </c>
      <c r="I146" s="1319">
        <f t="shared" si="277"/>
        <v>0</v>
      </c>
      <c r="J146" s="1319">
        <f t="shared" si="277"/>
        <v>0</v>
      </c>
      <c r="K146" s="1319">
        <f t="shared" si="277"/>
        <v>0</v>
      </c>
      <c r="L146" s="1319">
        <f t="shared" si="277"/>
        <v>0</v>
      </c>
      <c r="M146" s="1319">
        <f t="shared" si="277"/>
        <v>0</v>
      </c>
      <c r="N146" s="1319">
        <f t="shared" si="277"/>
        <v>0</v>
      </c>
      <c r="O146" s="1319">
        <f t="shared" si="277"/>
        <v>0</v>
      </c>
      <c r="P146" s="1319">
        <f t="shared" si="277"/>
        <v>0</v>
      </c>
      <c r="Q146" s="128"/>
      <c r="U146" s="2748"/>
      <c r="V146" s="2749"/>
    </row>
    <row r="147" spans="2:22" ht="11.25" customHeight="1">
      <c r="B147" s="1320" t="s">
        <v>4114</v>
      </c>
      <c r="C147" s="95"/>
      <c r="D147" s="95"/>
      <c r="E147" s="95"/>
      <c r="F147" s="95"/>
      <c r="G147" s="1321"/>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2853"/>
      <c r="H148" s="2853"/>
      <c r="I148" s="2853"/>
      <c r="J148" s="2853"/>
      <c r="K148" s="2854"/>
      <c r="L148" s="2853"/>
      <c r="M148" s="2853"/>
      <c r="N148" s="2853"/>
      <c r="O148" s="2853"/>
      <c r="P148" s="2853"/>
      <c r="Q148" s="1164"/>
      <c r="U148" s="2743"/>
      <c r="V148" s="2744"/>
    </row>
    <row r="149" spans="2:22" ht="11.25" customHeight="1">
      <c r="B149" s="116" t="s">
        <v>771</v>
      </c>
      <c r="C149" s="2855"/>
      <c r="D149" s="2856"/>
      <c r="E149" s="2856"/>
      <c r="F149" s="2857"/>
      <c r="G149" s="2858"/>
      <c r="H149" s="2858"/>
      <c r="I149" s="2858"/>
      <c r="J149" s="2858"/>
      <c r="K149" s="2859"/>
      <c r="L149" s="2858"/>
      <c r="M149" s="2858"/>
      <c r="N149" s="2858"/>
      <c r="O149" s="2858"/>
      <c r="P149" s="2858"/>
      <c r="Q149" s="1164"/>
      <c r="U149" s="2745"/>
      <c r="V149" s="2746"/>
    </row>
    <row r="150" spans="2:22" ht="11.25" customHeight="1">
      <c r="B150" s="116"/>
      <c r="C150" s="116" t="s">
        <v>198</v>
      </c>
      <c r="D150" s="116"/>
      <c r="E150" s="116"/>
      <c r="F150" s="116"/>
      <c r="G150" s="1319">
        <f t="shared" ref="G150:P150" si="278">SUM(G148:G149)</f>
        <v>0</v>
      </c>
      <c r="H150" s="1319">
        <f t="shared" si="278"/>
        <v>0</v>
      </c>
      <c r="I150" s="1319">
        <f t="shared" si="278"/>
        <v>0</v>
      </c>
      <c r="J150" s="1319">
        <f t="shared" si="278"/>
        <v>0</v>
      </c>
      <c r="K150" s="1319">
        <f t="shared" si="278"/>
        <v>0</v>
      </c>
      <c r="L150" s="1319">
        <f t="shared" si="278"/>
        <v>0</v>
      </c>
      <c r="M150" s="1319">
        <f t="shared" si="278"/>
        <v>0</v>
      </c>
      <c r="N150" s="1319">
        <f t="shared" si="278"/>
        <v>0</v>
      </c>
      <c r="O150" s="1319">
        <f t="shared" si="278"/>
        <v>0</v>
      </c>
      <c r="P150" s="1319">
        <f t="shared" si="278"/>
        <v>0</v>
      </c>
      <c r="Q150" s="128"/>
      <c r="U150" s="2748"/>
      <c r="V150" s="2749"/>
    </row>
    <row r="151" spans="2:22" ht="3" customHeight="1">
      <c r="B151" s="1312"/>
      <c r="C151" s="95"/>
      <c r="D151" s="95"/>
      <c r="E151" s="95"/>
      <c r="F151" s="95"/>
      <c r="G151" s="1321"/>
      <c r="H151" s="95"/>
      <c r="I151" s="95"/>
      <c r="J151" s="95"/>
      <c r="K151" s="95"/>
      <c r="L151" s="95"/>
      <c r="M151" s="95"/>
      <c r="N151" s="95"/>
      <c r="O151" s="95"/>
      <c r="P151" s="95"/>
      <c r="Q151" s="8"/>
      <c r="U151" s="180" t="s">
        <v>2711</v>
      </c>
    </row>
    <row r="152" spans="2:22" ht="11.25" customHeight="1">
      <c r="B152" s="1316" t="s">
        <v>2366</v>
      </c>
      <c r="C152" s="95"/>
      <c r="D152" s="95"/>
      <c r="E152" s="95"/>
      <c r="F152" s="95"/>
      <c r="G152" s="1317">
        <v>31</v>
      </c>
      <c r="H152" s="1317">
        <v>32</v>
      </c>
      <c r="I152" s="1317">
        <v>33</v>
      </c>
      <c r="J152" s="1317">
        <v>34</v>
      </c>
      <c r="K152" s="1317">
        <v>35</v>
      </c>
      <c r="L152" s="95"/>
      <c r="M152" s="95"/>
      <c r="N152" s="95"/>
      <c r="O152" s="95"/>
      <c r="P152" s="95"/>
      <c r="Q152" s="8"/>
      <c r="U152" s="100" t="str">
        <f>B152</f>
        <v>Included in Mgt Fee:</v>
      </c>
    </row>
    <row r="153" spans="2:22" ht="11.25" customHeight="1">
      <c r="B153" s="116" t="s">
        <v>1054</v>
      </c>
      <c r="C153" s="116"/>
      <c r="D153" s="116"/>
      <c r="E153" s="116"/>
      <c r="F153" s="116"/>
      <c r="G153" s="2853"/>
      <c r="H153" s="2853"/>
      <c r="I153" s="2853"/>
      <c r="J153" s="2853"/>
      <c r="K153" s="2854"/>
      <c r="L153" s="95"/>
      <c r="M153" s="95"/>
      <c r="N153" s="95"/>
      <c r="O153" s="95"/>
      <c r="P153" s="95"/>
      <c r="Q153" s="8"/>
      <c r="U153" s="2743"/>
      <c r="V153" s="2744"/>
    </row>
    <row r="154" spans="2:22" ht="11.25" customHeight="1">
      <c r="B154" s="116" t="s">
        <v>771</v>
      </c>
      <c r="C154" s="2855"/>
      <c r="D154" s="2856"/>
      <c r="E154" s="2856"/>
      <c r="F154" s="2857"/>
      <c r="G154" s="2858"/>
      <c r="H154" s="2858"/>
      <c r="I154" s="2858"/>
      <c r="J154" s="2858"/>
      <c r="K154" s="2859"/>
      <c r="L154" s="95"/>
      <c r="M154" s="95"/>
      <c r="N154" s="95"/>
      <c r="O154" s="95"/>
      <c r="P154" s="95"/>
      <c r="Q154" s="8"/>
      <c r="U154" s="2745"/>
      <c r="V154" s="2746"/>
    </row>
    <row r="155" spans="2:22" ht="11.25" customHeight="1">
      <c r="B155" s="116"/>
      <c r="C155" s="116" t="s">
        <v>961</v>
      </c>
      <c r="D155" s="116"/>
      <c r="E155" s="116"/>
      <c r="F155" s="116"/>
      <c r="G155" s="1319">
        <f>SUM(G153:G154)</f>
        <v>0</v>
      </c>
      <c r="H155" s="1319">
        <f>SUM(H153:H154)</f>
        <v>0</v>
      </c>
      <c r="I155" s="1319">
        <f>SUM(I153:I154)</f>
        <v>0</v>
      </c>
      <c r="J155" s="1319">
        <f>SUM(J153:J154)</f>
        <v>0</v>
      </c>
      <c r="K155" s="1319">
        <f>SUM(K153:K154)</f>
        <v>0</v>
      </c>
      <c r="L155" s="95"/>
      <c r="M155" s="95"/>
      <c r="N155" s="95"/>
      <c r="O155" s="95"/>
      <c r="P155" s="95"/>
      <c r="Q155" s="8"/>
      <c r="U155" s="2748"/>
      <c r="V155" s="2749"/>
    </row>
    <row r="156" spans="2:22" ht="11.25" customHeight="1">
      <c r="B156" s="1320" t="s">
        <v>4114</v>
      </c>
      <c r="C156" s="95"/>
      <c r="D156" s="95"/>
      <c r="E156" s="95"/>
      <c r="F156" s="95"/>
      <c r="G156" s="1321"/>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2853"/>
      <c r="H157" s="2853"/>
      <c r="I157" s="2853"/>
      <c r="J157" s="2853"/>
      <c r="K157" s="2854"/>
      <c r="L157" s="95"/>
      <c r="M157" s="95"/>
      <c r="N157" s="95"/>
      <c r="O157" s="95"/>
      <c r="P157" s="95"/>
      <c r="Q157" s="8"/>
      <c r="U157" s="2743"/>
      <c r="V157" s="2744"/>
    </row>
    <row r="158" spans="2:22" ht="11.25" customHeight="1">
      <c r="B158" s="116" t="s">
        <v>771</v>
      </c>
      <c r="C158" s="2855"/>
      <c r="D158" s="2856"/>
      <c r="E158" s="2856"/>
      <c r="F158" s="2857"/>
      <c r="G158" s="2858"/>
      <c r="H158" s="2858"/>
      <c r="I158" s="2858"/>
      <c r="J158" s="2858"/>
      <c r="K158" s="2859"/>
      <c r="L158" s="95"/>
      <c r="M158" s="95"/>
      <c r="N158" s="95"/>
      <c r="O158" s="95"/>
      <c r="P158" s="95"/>
      <c r="Q158" s="8"/>
      <c r="U158" s="2745"/>
      <c r="V158" s="2746"/>
    </row>
    <row r="159" spans="2:22" ht="11.25" customHeight="1">
      <c r="B159" s="116"/>
      <c r="C159" s="116" t="s">
        <v>198</v>
      </c>
      <c r="D159" s="116"/>
      <c r="E159" s="116"/>
      <c r="F159" s="116"/>
      <c r="G159" s="1319">
        <f>SUM(G157:G158)</f>
        <v>0</v>
      </c>
      <c r="H159" s="1319">
        <f>SUM(H157:H158)</f>
        <v>0</v>
      </c>
      <c r="I159" s="1319">
        <f>SUM(I157:I158)</f>
        <v>0</v>
      </c>
      <c r="J159" s="1319">
        <f>SUM(J157:J158)</f>
        <v>0</v>
      </c>
      <c r="K159" s="1319">
        <f>SUM(K157:K158)</f>
        <v>0</v>
      </c>
      <c r="L159" s="95"/>
      <c r="M159" s="95"/>
      <c r="N159" s="95"/>
      <c r="O159" s="95"/>
      <c r="P159" s="95"/>
      <c r="Q159" s="8"/>
      <c r="U159" s="2748"/>
      <c r="V159" s="2749"/>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9"/>
      <c r="EY161" s="509"/>
      <c r="EZ161" s="509"/>
      <c r="FA161" s="509"/>
      <c r="FB161" s="509"/>
      <c r="FC161" s="509"/>
      <c r="FD161" s="509"/>
      <c r="FE161" s="509"/>
      <c r="FF161" s="509"/>
      <c r="FG161" s="509"/>
      <c r="FH161" s="509"/>
      <c r="FI161" s="509"/>
      <c r="FJ161" s="509"/>
      <c r="FK161" s="509"/>
      <c r="FL161" s="509"/>
      <c r="FM161" s="509"/>
      <c r="FN161" s="509"/>
      <c r="FO161" s="509"/>
      <c r="FP161" s="509"/>
      <c r="FQ161" s="509"/>
      <c r="FR161" s="509"/>
      <c r="FS161" s="509"/>
      <c r="FT161" s="509"/>
      <c r="FU161" s="509"/>
      <c r="FV161" s="509"/>
      <c r="FW161" s="509"/>
      <c r="FX161" s="509"/>
      <c r="FY161" s="509"/>
      <c r="FZ161" s="509"/>
      <c r="GA161" s="509"/>
      <c r="GB161" s="509"/>
      <c r="GC161" s="509"/>
      <c r="GD161" s="509"/>
      <c r="GE161" s="509"/>
      <c r="GF161" s="509"/>
      <c r="GG161" s="509"/>
      <c r="GH161" s="509"/>
      <c r="GI161" s="509"/>
      <c r="GJ161" s="509"/>
      <c r="GK161" s="509"/>
      <c r="GL161" s="509"/>
      <c r="GM161" s="509"/>
      <c r="GN161" s="509"/>
      <c r="GO161" s="509"/>
      <c r="GP161" s="509"/>
      <c r="GQ161" s="509"/>
      <c r="GR161" s="509"/>
      <c r="GS161" s="509"/>
      <c r="GT161" s="510"/>
      <c r="GU161" s="509"/>
      <c r="GV161" s="509"/>
      <c r="GW161" s="509"/>
      <c r="GX161" s="509"/>
      <c r="GY161" s="510"/>
      <c r="GZ161" s="510"/>
      <c r="HA161" s="510"/>
      <c r="HB161" s="510"/>
      <c r="HC161" s="510"/>
      <c r="HD161" s="510"/>
      <c r="HE161" s="510"/>
      <c r="HF161" s="510"/>
      <c r="HG161" s="510"/>
      <c r="HH161" s="510"/>
      <c r="HI161" s="510"/>
      <c r="HJ161" s="510"/>
      <c r="HK161" s="510"/>
      <c r="HL161" s="510"/>
      <c r="HM161" s="510"/>
      <c r="HN161" s="510"/>
      <c r="HO161" s="510"/>
      <c r="HP161" s="510"/>
      <c r="HQ161" s="510"/>
      <c r="HR161" s="510"/>
      <c r="HS161" s="510"/>
      <c r="HT161" s="510"/>
      <c r="HU161" s="510"/>
      <c r="HV161" s="510"/>
      <c r="HW161" s="510"/>
      <c r="HX161" s="510"/>
      <c r="HY161" s="510"/>
      <c r="HZ161" s="510"/>
      <c r="IA161" s="510"/>
      <c r="IB161" s="510"/>
      <c r="IC161" s="510"/>
      <c r="ID161" s="510"/>
      <c r="IE161" s="509"/>
      <c r="IF161" s="509"/>
      <c r="IG161" s="509"/>
      <c r="IH161" s="509"/>
      <c r="II161" s="509"/>
      <c r="IJ161" s="509"/>
      <c r="IK161" s="511"/>
      <c r="IL161" s="509"/>
      <c r="IM161" s="509"/>
      <c r="IN161" s="509"/>
      <c r="IO161" s="509"/>
      <c r="IP161" s="509"/>
      <c r="IQ161" s="509"/>
      <c r="IR161" s="509"/>
      <c r="IS161" s="509"/>
      <c r="IT161" s="509"/>
      <c r="IU161" s="509"/>
      <c r="IV161" s="509"/>
      <c r="IW161" s="509"/>
      <c r="IX161" s="509"/>
      <c r="IY161" s="509"/>
      <c r="IZ161" s="509"/>
      <c r="JA161" s="511"/>
      <c r="JB161" s="511"/>
      <c r="JC161" s="509"/>
      <c r="JD161" s="509"/>
      <c r="JE161" s="509"/>
      <c r="JF161" s="509"/>
      <c r="JG161" s="509"/>
      <c r="JH161" s="509"/>
      <c r="JI161" s="509"/>
      <c r="JJ161" s="509"/>
      <c r="JK161" s="509"/>
      <c r="JL161" s="509"/>
      <c r="JM161" s="509"/>
      <c r="JN161" s="509"/>
      <c r="JO161" s="509"/>
      <c r="JP161" s="509"/>
      <c r="JQ161" s="509"/>
      <c r="JR161" s="100"/>
      <c r="JS161" s="100"/>
      <c r="JT161" s="509"/>
      <c r="JU161" s="509"/>
      <c r="JV161" s="509"/>
      <c r="JW161" s="509"/>
      <c r="JX161" s="509"/>
      <c r="JY161" s="509"/>
      <c r="JZ161" s="509"/>
      <c r="KA161" s="509"/>
      <c r="KB161" s="509"/>
      <c r="KC161" s="509"/>
      <c r="KD161" s="509"/>
      <c r="KE161" s="509"/>
      <c r="KF161" s="509"/>
      <c r="KG161" s="509"/>
      <c r="KH161" s="509"/>
      <c r="KI161" s="509"/>
      <c r="KJ161" s="509"/>
    </row>
    <row r="162" spans="1:296" s="96" customFormat="1" ht="9" customHeight="1">
      <c r="A162" s="1"/>
      <c r="B162" s="2"/>
      <c r="C162" s="2"/>
      <c r="D162" s="2"/>
      <c r="E162" s="2"/>
      <c r="F162" s="2"/>
      <c r="G162" s="2"/>
      <c r="H162" s="2"/>
      <c r="I162" s="2"/>
      <c r="J162" s="2"/>
      <c r="K162" s="1"/>
      <c r="L162" s="1"/>
      <c r="M162" s="1"/>
      <c r="N162" s="1"/>
      <c r="O162" s="1"/>
      <c r="P162" s="1"/>
      <c r="Q162" s="1"/>
      <c r="U162" s="2086" t="s">
        <v>1915</v>
      </c>
      <c r="V162" s="2086"/>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9"/>
      <c r="EY162" s="509"/>
      <c r="EZ162" s="509"/>
      <c r="FA162" s="509"/>
      <c r="FB162" s="509"/>
      <c r="FC162" s="509"/>
      <c r="FD162" s="509"/>
      <c r="FE162" s="509"/>
      <c r="FF162" s="509"/>
      <c r="FG162" s="509"/>
      <c r="FH162" s="509"/>
      <c r="FI162" s="509"/>
      <c r="FJ162" s="509"/>
      <c r="FK162" s="509"/>
      <c r="FL162" s="509"/>
      <c r="FM162" s="509"/>
      <c r="FN162" s="509"/>
      <c r="FO162" s="509"/>
      <c r="FP162" s="509"/>
      <c r="FQ162" s="509"/>
      <c r="FR162" s="509"/>
      <c r="FS162" s="509"/>
      <c r="FT162" s="509"/>
      <c r="FU162" s="509"/>
      <c r="FV162" s="509"/>
      <c r="FW162" s="509"/>
      <c r="FX162" s="509"/>
      <c r="FY162" s="509"/>
      <c r="FZ162" s="509"/>
      <c r="GA162" s="509"/>
      <c r="GB162" s="509"/>
      <c r="GC162" s="509"/>
      <c r="GD162" s="509"/>
      <c r="GE162" s="509"/>
      <c r="GF162" s="509"/>
      <c r="GG162" s="509"/>
      <c r="GH162" s="509"/>
      <c r="GI162" s="509"/>
      <c r="GJ162" s="509"/>
      <c r="GK162" s="509"/>
      <c r="GL162" s="509"/>
      <c r="GM162" s="509"/>
      <c r="GN162" s="509"/>
      <c r="GO162" s="509"/>
      <c r="GP162" s="509"/>
      <c r="GQ162" s="509"/>
      <c r="GR162" s="509"/>
      <c r="GS162" s="509"/>
      <c r="GT162" s="510"/>
      <c r="GU162" s="509"/>
      <c r="GV162" s="509"/>
      <c r="GW162" s="509"/>
      <c r="GX162" s="509"/>
      <c r="GY162" s="510"/>
      <c r="GZ162" s="510"/>
      <c r="HA162" s="510"/>
      <c r="HB162" s="510"/>
      <c r="HC162" s="510"/>
      <c r="HD162" s="510"/>
      <c r="HE162" s="510"/>
      <c r="HF162" s="510"/>
      <c r="HG162" s="510"/>
      <c r="HH162" s="510"/>
      <c r="HI162" s="510"/>
      <c r="HJ162" s="510"/>
      <c r="HK162" s="510"/>
      <c r="HL162" s="510"/>
      <c r="HM162" s="510"/>
      <c r="HN162" s="510"/>
      <c r="HO162" s="510"/>
      <c r="HP162" s="510"/>
      <c r="HQ162" s="510"/>
      <c r="HR162" s="510"/>
      <c r="HS162" s="510"/>
      <c r="HT162" s="510"/>
      <c r="HU162" s="510"/>
      <c r="HV162" s="510"/>
      <c r="HW162" s="510"/>
      <c r="HX162" s="510"/>
      <c r="HY162" s="510"/>
      <c r="HZ162" s="510"/>
      <c r="IA162" s="510"/>
      <c r="IB162" s="510"/>
      <c r="IC162" s="510"/>
      <c r="ID162" s="510"/>
      <c r="IE162" s="509"/>
      <c r="IF162" s="509"/>
      <c r="IG162" s="509"/>
      <c r="IH162" s="509"/>
      <c r="II162" s="509"/>
      <c r="IJ162" s="509"/>
      <c r="IK162" s="511"/>
      <c r="IL162" s="509"/>
      <c r="IM162" s="509"/>
      <c r="IN162" s="509"/>
      <c r="IO162" s="509"/>
      <c r="IP162" s="509"/>
      <c r="IQ162" s="509"/>
      <c r="IR162" s="509"/>
      <c r="IS162" s="509"/>
      <c r="IT162" s="509"/>
      <c r="IU162" s="509"/>
      <c r="IV162" s="509"/>
      <c r="IW162" s="509"/>
      <c r="IX162" s="509"/>
      <c r="IY162" s="509"/>
      <c r="IZ162" s="509"/>
      <c r="JA162" s="511"/>
      <c r="JB162" s="511"/>
      <c r="JC162" s="509"/>
      <c r="JD162" s="509"/>
      <c r="JE162" s="509"/>
      <c r="JF162" s="509"/>
      <c r="JG162" s="509"/>
      <c r="JH162" s="509"/>
      <c r="JI162" s="509"/>
      <c r="JJ162" s="509"/>
      <c r="JK162" s="509"/>
      <c r="JL162" s="509"/>
      <c r="JM162" s="509"/>
      <c r="JN162" s="509"/>
      <c r="JO162" s="509"/>
      <c r="JP162" s="509"/>
      <c r="JQ162" s="509"/>
      <c r="JR162" s="100"/>
      <c r="JS162" s="100"/>
      <c r="JT162" s="509"/>
      <c r="JU162" s="509"/>
      <c r="JV162" s="509"/>
      <c r="JW162" s="509"/>
      <c r="JX162" s="509"/>
      <c r="JY162" s="509"/>
      <c r="JZ162" s="509"/>
      <c r="KA162" s="509"/>
      <c r="KB162" s="509"/>
      <c r="KC162" s="509"/>
      <c r="KD162" s="509"/>
      <c r="KE162" s="509"/>
      <c r="KF162" s="509"/>
      <c r="KG162" s="509"/>
      <c r="KH162" s="509"/>
      <c r="KI162" s="509"/>
      <c r="KJ162" s="509"/>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743"/>
      <c r="V163" s="2744"/>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9"/>
      <c r="EY163" s="509"/>
      <c r="EZ163" s="509"/>
      <c r="FA163" s="509"/>
      <c r="FB163" s="509"/>
      <c r="FC163" s="509"/>
      <c r="FD163" s="509"/>
      <c r="FE163" s="509"/>
      <c r="FF163" s="509"/>
      <c r="FG163" s="509"/>
      <c r="FH163" s="509"/>
      <c r="FI163" s="509"/>
      <c r="FJ163" s="509"/>
      <c r="FK163" s="509"/>
      <c r="FL163" s="509"/>
      <c r="FM163" s="509"/>
      <c r="FN163" s="509"/>
      <c r="FO163" s="509"/>
      <c r="FP163" s="509"/>
      <c r="FQ163" s="509"/>
      <c r="FR163" s="509"/>
      <c r="FS163" s="509"/>
      <c r="FT163" s="509"/>
      <c r="FU163" s="509"/>
      <c r="FV163" s="509"/>
      <c r="FW163" s="509"/>
      <c r="FX163" s="509"/>
      <c r="FY163" s="509"/>
      <c r="FZ163" s="509"/>
      <c r="GA163" s="509"/>
      <c r="GB163" s="509"/>
      <c r="GC163" s="509"/>
      <c r="GD163" s="509"/>
      <c r="GE163" s="509"/>
      <c r="GF163" s="509"/>
      <c r="GG163" s="509"/>
      <c r="GH163" s="509"/>
      <c r="GI163" s="509"/>
      <c r="GJ163" s="509"/>
      <c r="GK163" s="509"/>
      <c r="GL163" s="509"/>
      <c r="GM163" s="509"/>
      <c r="GN163" s="509"/>
      <c r="GO163" s="509"/>
      <c r="GP163" s="509"/>
      <c r="GQ163" s="509"/>
      <c r="GR163" s="509"/>
      <c r="GS163" s="509"/>
      <c r="GT163" s="510"/>
      <c r="GU163" s="509"/>
      <c r="GV163" s="509"/>
      <c r="GW163" s="509"/>
      <c r="GX163" s="509"/>
      <c r="GY163" s="510"/>
      <c r="GZ163" s="510"/>
      <c r="HA163" s="510"/>
      <c r="HB163" s="510"/>
      <c r="HC163" s="510"/>
      <c r="HD163" s="510"/>
      <c r="HE163" s="510"/>
      <c r="HF163" s="510"/>
      <c r="HG163" s="510"/>
      <c r="HH163" s="510"/>
      <c r="HI163" s="510"/>
      <c r="HJ163" s="510"/>
      <c r="HK163" s="510"/>
      <c r="HL163" s="510"/>
      <c r="HM163" s="510"/>
      <c r="HN163" s="510"/>
      <c r="HO163" s="510"/>
      <c r="HP163" s="510"/>
      <c r="HQ163" s="510"/>
      <c r="HR163" s="510"/>
      <c r="HS163" s="510"/>
      <c r="HT163" s="510"/>
      <c r="HU163" s="510"/>
      <c r="HV163" s="510"/>
      <c r="HW163" s="510"/>
      <c r="HX163" s="510"/>
      <c r="HY163" s="510"/>
      <c r="HZ163" s="510"/>
      <c r="IA163" s="510"/>
      <c r="IB163" s="510"/>
      <c r="IC163" s="510"/>
      <c r="ID163" s="510"/>
      <c r="IE163" s="509"/>
      <c r="IF163" s="509"/>
      <c r="IG163" s="509"/>
      <c r="IH163" s="509"/>
      <c r="II163" s="509"/>
      <c r="IJ163" s="509"/>
      <c r="IK163" s="511"/>
      <c r="IL163" s="509"/>
      <c r="IM163" s="509"/>
      <c r="IN163" s="509"/>
      <c r="IO163" s="509"/>
      <c r="IP163" s="509"/>
      <c r="IQ163" s="509"/>
      <c r="IR163" s="509"/>
      <c r="IS163" s="509"/>
      <c r="IT163" s="509"/>
      <c r="IU163" s="509"/>
      <c r="IV163" s="509"/>
      <c r="IW163" s="509"/>
      <c r="IX163" s="509"/>
      <c r="IY163" s="509"/>
      <c r="IZ163" s="509"/>
      <c r="JA163" s="511"/>
      <c r="JB163" s="511"/>
      <c r="JC163" s="509"/>
      <c r="JD163" s="509"/>
      <c r="JE163" s="509"/>
      <c r="JF163" s="509"/>
      <c r="JG163" s="509"/>
      <c r="JH163" s="509"/>
      <c r="JI163" s="509"/>
      <c r="JJ163" s="509"/>
      <c r="JK163" s="509"/>
      <c r="JL163" s="509"/>
      <c r="JM163" s="509"/>
      <c r="JN163" s="509"/>
      <c r="JO163" s="509"/>
      <c r="JP163" s="509"/>
      <c r="JQ163" s="509"/>
      <c r="JR163" s="100"/>
      <c r="JS163" s="100"/>
      <c r="JT163" s="509"/>
      <c r="JU163" s="509"/>
      <c r="JV163" s="509"/>
      <c r="JW163" s="509"/>
      <c r="JX163" s="509"/>
      <c r="JY163" s="509"/>
      <c r="JZ163" s="509"/>
      <c r="KA163" s="509"/>
      <c r="KB163" s="509"/>
      <c r="KC163" s="509"/>
      <c r="KD163" s="509"/>
      <c r="KE163" s="509"/>
      <c r="KF163" s="509"/>
      <c r="KG163" s="509"/>
      <c r="KH163" s="509"/>
      <c r="KI163" s="509"/>
      <c r="KJ163" s="509"/>
    </row>
    <row r="164" spans="1:296" s="96" customFormat="1" ht="15.6" customHeight="1">
      <c r="A164" s="1"/>
      <c r="B164" s="1" t="s">
        <v>2275</v>
      </c>
      <c r="C164" s="1"/>
      <c r="D164" s="1"/>
      <c r="E164" s="1"/>
      <c r="F164" s="2860">
        <v>129384</v>
      </c>
      <c r="G164" s="2861"/>
      <c r="H164" s="1"/>
      <c r="I164" s="1" t="s">
        <v>1428</v>
      </c>
      <c r="J164" s="1"/>
      <c r="K164" s="2860">
        <v>84000</v>
      </c>
      <c r="L164" s="2861"/>
      <c r="M164" s="1"/>
      <c r="N164" s="1" t="s">
        <v>962</v>
      </c>
      <c r="O164" s="1"/>
      <c r="P164" s="2862">
        <v>203000</v>
      </c>
      <c r="Q164" s="1164"/>
      <c r="U164" s="2745"/>
      <c r="V164" s="2746"/>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9"/>
      <c r="EY164" s="509"/>
      <c r="EZ164" s="509"/>
      <c r="FA164" s="509"/>
      <c r="FB164" s="509"/>
      <c r="FC164" s="509"/>
      <c r="FD164" s="509"/>
      <c r="FE164" s="509"/>
      <c r="FF164" s="509"/>
      <c r="FG164" s="509"/>
      <c r="FH164" s="509"/>
      <c r="FI164" s="509"/>
      <c r="FJ164" s="509"/>
      <c r="FK164" s="509"/>
      <c r="FL164" s="509"/>
      <c r="FM164" s="509"/>
      <c r="FN164" s="509"/>
      <c r="FO164" s="509"/>
      <c r="FP164" s="509"/>
      <c r="FQ164" s="509"/>
      <c r="FR164" s="509"/>
      <c r="FS164" s="509"/>
      <c r="FT164" s="509"/>
      <c r="FU164" s="509"/>
      <c r="FV164" s="509"/>
      <c r="FW164" s="509"/>
      <c r="FX164" s="509"/>
      <c r="FY164" s="509"/>
      <c r="FZ164" s="509"/>
      <c r="GA164" s="509"/>
      <c r="GB164" s="509"/>
      <c r="GC164" s="509"/>
      <c r="GD164" s="509"/>
      <c r="GE164" s="509"/>
      <c r="GF164" s="509"/>
      <c r="GG164" s="509"/>
      <c r="GH164" s="509"/>
      <c r="GI164" s="509"/>
      <c r="GJ164" s="509"/>
      <c r="GK164" s="509"/>
      <c r="GL164" s="509"/>
      <c r="GM164" s="509"/>
      <c r="GN164" s="509"/>
      <c r="GO164" s="509"/>
      <c r="GP164" s="509"/>
      <c r="GQ164" s="509"/>
      <c r="GR164" s="509"/>
      <c r="GS164" s="509"/>
      <c r="GT164" s="510"/>
      <c r="GU164" s="509"/>
      <c r="GV164" s="509"/>
      <c r="GW164" s="509"/>
      <c r="GX164" s="509"/>
      <c r="GY164" s="510"/>
      <c r="GZ164" s="510"/>
      <c r="HA164" s="510"/>
      <c r="HB164" s="510"/>
      <c r="HC164" s="510"/>
      <c r="HD164" s="510"/>
      <c r="HE164" s="510"/>
      <c r="HF164" s="510"/>
      <c r="HG164" s="510"/>
      <c r="HH164" s="510"/>
      <c r="HI164" s="510"/>
      <c r="HJ164" s="510"/>
      <c r="HK164" s="510"/>
      <c r="HL164" s="510"/>
      <c r="HM164" s="510"/>
      <c r="HN164" s="510"/>
      <c r="HO164" s="510"/>
      <c r="HP164" s="510"/>
      <c r="HQ164" s="510"/>
      <c r="HR164" s="510"/>
      <c r="HS164" s="510"/>
      <c r="HT164" s="510"/>
      <c r="HU164" s="510"/>
      <c r="HV164" s="510"/>
      <c r="HW164" s="510"/>
      <c r="HX164" s="510"/>
      <c r="HY164" s="510"/>
      <c r="HZ164" s="510"/>
      <c r="IA164" s="510"/>
      <c r="IB164" s="510"/>
      <c r="IC164" s="510"/>
      <c r="ID164" s="510"/>
      <c r="IE164" s="509"/>
      <c r="IF164" s="509"/>
      <c r="IG164" s="509"/>
      <c r="IH164" s="509"/>
      <c r="II164" s="509"/>
      <c r="IJ164" s="509"/>
      <c r="IK164" s="511"/>
      <c r="IL164" s="509"/>
      <c r="IM164" s="509"/>
      <c r="IN164" s="509"/>
      <c r="IO164" s="509"/>
      <c r="IP164" s="509"/>
      <c r="IQ164" s="509"/>
      <c r="IR164" s="509"/>
      <c r="IS164" s="509"/>
      <c r="IT164" s="509"/>
      <c r="IU164" s="509"/>
      <c r="IV164" s="509"/>
      <c r="IW164" s="509"/>
      <c r="IX164" s="509"/>
      <c r="IY164" s="509"/>
      <c r="IZ164" s="509"/>
      <c r="JA164" s="511"/>
      <c r="JB164" s="511"/>
      <c r="JC164" s="509"/>
      <c r="JD164" s="509"/>
      <c r="JE164" s="509"/>
      <c r="JF164" s="509"/>
      <c r="JG164" s="509"/>
      <c r="JH164" s="509"/>
      <c r="JI164" s="509"/>
      <c r="JJ164" s="509"/>
      <c r="JK164" s="509"/>
      <c r="JL164" s="509"/>
      <c r="JM164" s="509"/>
      <c r="JN164" s="509"/>
      <c r="JO164" s="509"/>
      <c r="JP164" s="509"/>
      <c r="JQ164" s="509"/>
      <c r="JR164" s="100"/>
      <c r="JS164" s="100"/>
      <c r="JT164" s="509"/>
      <c r="JU164" s="509"/>
      <c r="JV164" s="509"/>
      <c r="JW164" s="509"/>
      <c r="JX164" s="509"/>
      <c r="JY164" s="509"/>
      <c r="JZ164" s="509"/>
      <c r="KA164" s="509"/>
      <c r="KB164" s="509"/>
      <c r="KC164" s="509"/>
      <c r="KD164" s="509"/>
      <c r="KE164" s="509"/>
      <c r="KF164" s="509"/>
      <c r="KG164" s="509"/>
      <c r="KH164" s="509"/>
      <c r="KI164" s="509"/>
      <c r="KJ164" s="509"/>
    </row>
    <row r="165" spans="1:296" s="96" customFormat="1" ht="15.6" customHeight="1" thickBot="1">
      <c r="A165" s="1"/>
      <c r="B165" s="1" t="s">
        <v>1417</v>
      </c>
      <c r="C165" s="1"/>
      <c r="D165" s="1"/>
      <c r="E165" s="1"/>
      <c r="F165" s="2860">
        <v>117312</v>
      </c>
      <c r="G165" s="2861"/>
      <c r="H165" s="1"/>
      <c r="I165" s="1" t="s">
        <v>1429</v>
      </c>
      <c r="J165" s="1"/>
      <c r="K165" s="2860">
        <v>1200</v>
      </c>
      <c r="L165" s="2861"/>
      <c r="M165" s="1"/>
      <c r="N165" s="1" t="s">
        <v>152</v>
      </c>
      <c r="O165" s="1"/>
      <c r="P165" s="2862">
        <v>57601</v>
      </c>
      <c r="Q165" s="1164"/>
      <c r="U165" s="2745"/>
      <c r="V165" s="2746"/>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9"/>
      <c r="EY165" s="509"/>
      <c r="EZ165" s="509"/>
      <c r="FA165" s="509"/>
      <c r="FB165" s="509"/>
      <c r="FC165" s="509"/>
      <c r="FD165" s="509"/>
      <c r="FE165" s="509"/>
      <c r="FF165" s="509"/>
      <c r="FG165" s="509"/>
      <c r="FH165" s="509"/>
      <c r="FI165" s="509"/>
      <c r="FJ165" s="509"/>
      <c r="FK165" s="509"/>
      <c r="FL165" s="509"/>
      <c r="FM165" s="509"/>
      <c r="FN165" s="509"/>
      <c r="FO165" s="509"/>
      <c r="FP165" s="509"/>
      <c r="FQ165" s="509"/>
      <c r="FR165" s="509"/>
      <c r="FS165" s="509"/>
      <c r="FT165" s="509"/>
      <c r="FU165" s="509"/>
      <c r="FV165" s="509"/>
      <c r="FW165" s="509"/>
      <c r="FX165" s="509"/>
      <c r="FY165" s="509"/>
      <c r="FZ165" s="509"/>
      <c r="GA165" s="509"/>
      <c r="GB165" s="509"/>
      <c r="GC165" s="509"/>
      <c r="GD165" s="509"/>
      <c r="GE165" s="509"/>
      <c r="GF165" s="509"/>
      <c r="GG165" s="509"/>
      <c r="GH165" s="509"/>
      <c r="GI165" s="509"/>
      <c r="GJ165" s="509"/>
      <c r="GK165" s="509"/>
      <c r="GL165" s="509"/>
      <c r="GM165" s="509"/>
      <c r="GN165" s="509"/>
      <c r="GO165" s="509"/>
      <c r="GP165" s="509"/>
      <c r="GQ165" s="509"/>
      <c r="GR165" s="509"/>
      <c r="GS165" s="509"/>
      <c r="GT165" s="510"/>
      <c r="GU165" s="509"/>
      <c r="GV165" s="509"/>
      <c r="GW165" s="509"/>
      <c r="GX165" s="509"/>
      <c r="GY165" s="510"/>
      <c r="GZ165" s="510"/>
      <c r="HA165" s="510"/>
      <c r="HB165" s="510"/>
      <c r="HC165" s="510"/>
      <c r="HD165" s="510"/>
      <c r="HE165" s="510"/>
      <c r="HF165" s="510"/>
      <c r="HG165" s="510"/>
      <c r="HH165" s="510"/>
      <c r="HI165" s="510"/>
      <c r="HJ165" s="510"/>
      <c r="HK165" s="510"/>
      <c r="HL165" s="510"/>
      <c r="HM165" s="510"/>
      <c r="HN165" s="510"/>
      <c r="HO165" s="510"/>
      <c r="HP165" s="510"/>
      <c r="HQ165" s="510"/>
      <c r="HR165" s="510"/>
      <c r="HS165" s="510"/>
      <c r="HT165" s="510"/>
      <c r="HU165" s="510"/>
      <c r="HV165" s="510"/>
      <c r="HW165" s="510"/>
      <c r="HX165" s="510"/>
      <c r="HY165" s="510"/>
      <c r="HZ165" s="510"/>
      <c r="IA165" s="510"/>
      <c r="IB165" s="510"/>
      <c r="IC165" s="510"/>
      <c r="ID165" s="510"/>
      <c r="IE165" s="509"/>
      <c r="IF165" s="509"/>
      <c r="IG165" s="509"/>
      <c r="IH165" s="509"/>
      <c r="II165" s="509"/>
      <c r="IJ165" s="509"/>
      <c r="IK165" s="511"/>
      <c r="IL165" s="509"/>
      <c r="IM165" s="509"/>
      <c r="IN165" s="509"/>
      <c r="IO165" s="509"/>
      <c r="IP165" s="509"/>
      <c r="IQ165" s="509"/>
      <c r="IR165" s="509"/>
      <c r="IS165" s="509"/>
      <c r="IT165" s="509"/>
      <c r="IU165" s="509"/>
      <c r="IV165" s="509"/>
      <c r="IW165" s="509"/>
      <c r="IX165" s="509"/>
      <c r="IY165" s="509"/>
      <c r="IZ165" s="509"/>
      <c r="JA165" s="511"/>
      <c r="JB165" s="511"/>
      <c r="JC165" s="509"/>
      <c r="JD165" s="509"/>
      <c r="JE165" s="509"/>
      <c r="JF165" s="509"/>
      <c r="JG165" s="509"/>
      <c r="JH165" s="509"/>
      <c r="JI165" s="509"/>
      <c r="JJ165" s="509"/>
      <c r="JK165" s="509"/>
      <c r="JL165" s="509"/>
      <c r="JM165" s="509"/>
      <c r="JN165" s="509"/>
      <c r="JO165" s="509"/>
      <c r="JP165" s="509"/>
      <c r="JQ165" s="509"/>
      <c r="JR165" s="100"/>
      <c r="JS165" s="100"/>
      <c r="JT165" s="509"/>
      <c r="JU165" s="509"/>
      <c r="JV165" s="509"/>
      <c r="JW165" s="509"/>
      <c r="JX165" s="509"/>
      <c r="JY165" s="509"/>
      <c r="JZ165" s="509"/>
      <c r="KA165" s="509"/>
      <c r="KB165" s="509"/>
      <c r="KC165" s="509"/>
      <c r="KD165" s="509"/>
      <c r="KE165" s="509"/>
      <c r="KF165" s="509"/>
      <c r="KG165" s="509"/>
      <c r="KH165" s="509"/>
      <c r="KI165" s="509"/>
      <c r="KJ165" s="509"/>
    </row>
    <row r="166" spans="1:296" s="96" customFormat="1" ht="15.6" customHeight="1" thickTop="1" thickBot="1">
      <c r="A166" s="1"/>
      <c r="B166" s="1" t="s">
        <v>1286</v>
      </c>
      <c r="C166" s="1"/>
      <c r="D166" s="1"/>
      <c r="E166" s="1"/>
      <c r="F166" s="2860">
        <v>55000</v>
      </c>
      <c r="G166" s="2861"/>
      <c r="H166" s="1"/>
      <c r="I166" s="1"/>
      <c r="J166" s="132" t="s">
        <v>197</v>
      </c>
      <c r="K166" s="2055">
        <f>SUM(K164:L165)</f>
        <v>85200</v>
      </c>
      <c r="L166" s="2056"/>
      <c r="M166" s="1"/>
      <c r="N166" s="2863" t="s">
        <v>53</v>
      </c>
      <c r="O166" s="2864"/>
      <c r="P166" s="2865"/>
      <c r="Q166" s="1164"/>
      <c r="U166" s="2745"/>
      <c r="V166" s="2746"/>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9"/>
      <c r="EY166" s="509"/>
      <c r="EZ166" s="509"/>
      <c r="FA166" s="509"/>
      <c r="FB166" s="509"/>
      <c r="FC166" s="509"/>
      <c r="FD166" s="509"/>
      <c r="FE166" s="509"/>
      <c r="FF166" s="509"/>
      <c r="FG166" s="509"/>
      <c r="FH166" s="509"/>
      <c r="FI166" s="509"/>
      <c r="FJ166" s="509"/>
      <c r="FK166" s="509"/>
      <c r="FL166" s="509"/>
      <c r="FM166" s="509"/>
      <c r="FN166" s="509"/>
      <c r="FO166" s="509"/>
      <c r="FP166" s="509"/>
      <c r="FQ166" s="509"/>
      <c r="FR166" s="509"/>
      <c r="FS166" s="509"/>
      <c r="FT166" s="509"/>
      <c r="FU166" s="509"/>
      <c r="FV166" s="509"/>
      <c r="FW166" s="509"/>
      <c r="FX166" s="509"/>
      <c r="FY166" s="509"/>
      <c r="FZ166" s="509"/>
      <c r="GA166" s="509"/>
      <c r="GB166" s="509"/>
      <c r="GC166" s="509"/>
      <c r="GD166" s="509"/>
      <c r="GE166" s="509"/>
      <c r="GF166" s="509"/>
      <c r="GG166" s="509"/>
      <c r="GH166" s="509"/>
      <c r="GI166" s="509"/>
      <c r="GJ166" s="509"/>
      <c r="GK166" s="509"/>
      <c r="GL166" s="509"/>
      <c r="GM166" s="509"/>
      <c r="GN166" s="509"/>
      <c r="GO166" s="509"/>
      <c r="GP166" s="509"/>
      <c r="GQ166" s="509"/>
      <c r="GR166" s="509"/>
      <c r="GS166" s="509"/>
      <c r="GT166" s="510"/>
      <c r="GU166" s="509"/>
      <c r="GV166" s="509"/>
      <c r="GW166" s="509"/>
      <c r="GX166" s="509"/>
      <c r="GY166" s="510"/>
      <c r="GZ166" s="510"/>
      <c r="HA166" s="510"/>
      <c r="HB166" s="510"/>
      <c r="HC166" s="510"/>
      <c r="HD166" s="510"/>
      <c r="HE166" s="510"/>
      <c r="HF166" s="510"/>
      <c r="HG166" s="510"/>
      <c r="HH166" s="510"/>
      <c r="HI166" s="510"/>
      <c r="HJ166" s="510"/>
      <c r="HK166" s="510"/>
      <c r="HL166" s="510"/>
      <c r="HM166" s="510"/>
      <c r="HN166" s="510"/>
      <c r="HO166" s="510"/>
      <c r="HP166" s="510"/>
      <c r="HQ166" s="510"/>
      <c r="HR166" s="510"/>
      <c r="HS166" s="510"/>
      <c r="HT166" s="510"/>
      <c r="HU166" s="510"/>
      <c r="HV166" s="510"/>
      <c r="HW166" s="510"/>
      <c r="HX166" s="510"/>
      <c r="HY166" s="510"/>
      <c r="HZ166" s="510"/>
      <c r="IA166" s="510"/>
      <c r="IB166" s="510"/>
      <c r="IC166" s="510"/>
      <c r="ID166" s="510"/>
      <c r="IE166" s="509"/>
      <c r="IF166" s="509"/>
      <c r="IG166" s="509"/>
      <c r="IH166" s="509"/>
      <c r="II166" s="509"/>
      <c r="IJ166" s="509"/>
      <c r="IK166" s="511"/>
      <c r="IL166" s="509"/>
      <c r="IM166" s="509"/>
      <c r="IN166" s="509"/>
      <c r="IO166" s="509"/>
      <c r="IP166" s="509"/>
      <c r="IQ166" s="509"/>
      <c r="IR166" s="509"/>
      <c r="IS166" s="509"/>
      <c r="IT166" s="509"/>
      <c r="IU166" s="509"/>
      <c r="IV166" s="509"/>
      <c r="IW166" s="509"/>
      <c r="IX166" s="509"/>
      <c r="IY166" s="509"/>
      <c r="IZ166" s="509"/>
      <c r="JA166" s="511"/>
      <c r="JB166" s="511"/>
      <c r="JC166" s="509"/>
      <c r="JD166" s="509"/>
      <c r="JE166" s="509"/>
      <c r="JF166" s="509"/>
      <c r="JG166" s="509"/>
      <c r="JH166" s="509"/>
      <c r="JI166" s="509"/>
      <c r="JJ166" s="509"/>
      <c r="JK166" s="509"/>
      <c r="JL166" s="509"/>
      <c r="JM166" s="509"/>
      <c r="JN166" s="509"/>
      <c r="JO166" s="509"/>
      <c r="JP166" s="509"/>
      <c r="JQ166" s="509"/>
      <c r="JR166" s="100"/>
      <c r="JS166" s="100"/>
      <c r="JT166" s="509"/>
      <c r="JU166" s="509"/>
      <c r="JV166" s="509"/>
      <c r="JW166" s="509"/>
      <c r="JX166" s="509"/>
      <c r="JY166" s="509"/>
      <c r="JZ166" s="509"/>
      <c r="KA166" s="509"/>
      <c r="KB166" s="509"/>
      <c r="KC166" s="509"/>
      <c r="KD166" s="509"/>
      <c r="KE166" s="509"/>
      <c r="KF166" s="509"/>
      <c r="KG166" s="509"/>
      <c r="KH166" s="509"/>
      <c r="KI166" s="509"/>
      <c r="KJ166" s="509"/>
    </row>
    <row r="167" spans="1:296" s="96" customFormat="1" ht="15.6" customHeight="1" thickTop="1" thickBot="1">
      <c r="A167" s="1"/>
      <c r="B167" s="2866"/>
      <c r="C167" s="2867"/>
      <c r="D167" s="2867"/>
      <c r="E167" s="2868"/>
      <c r="F167" s="2869"/>
      <c r="G167" s="2870"/>
      <c r="H167" s="1"/>
      <c r="I167" s="1"/>
      <c r="J167" s="1"/>
      <c r="K167" s="1"/>
      <c r="L167" s="1"/>
      <c r="M167" s="1"/>
      <c r="N167" s="12" t="s">
        <v>197</v>
      </c>
      <c r="O167" s="1"/>
      <c r="P167" s="454">
        <f>SUM(P164:P166)</f>
        <v>260601</v>
      </c>
      <c r="Q167" s="1164"/>
      <c r="U167" s="2745"/>
      <c r="V167" s="2746"/>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9"/>
      <c r="EY167" s="509"/>
      <c r="EZ167" s="509"/>
      <c r="FA167" s="509"/>
      <c r="FB167" s="509"/>
      <c r="FC167" s="509"/>
      <c r="FD167" s="509"/>
      <c r="FE167" s="509"/>
      <c r="FF167" s="509"/>
      <c r="FG167" s="509"/>
      <c r="FH167" s="509"/>
      <c r="FI167" s="509"/>
      <c r="FJ167" s="509"/>
      <c r="FK167" s="509"/>
      <c r="FL167" s="509"/>
      <c r="FM167" s="509"/>
      <c r="FN167" s="509"/>
      <c r="FO167" s="509"/>
      <c r="FP167" s="509"/>
      <c r="FQ167" s="509"/>
      <c r="FR167" s="509"/>
      <c r="FS167" s="509"/>
      <c r="FT167" s="509"/>
      <c r="FU167" s="509"/>
      <c r="FV167" s="509"/>
      <c r="FW167" s="509"/>
      <c r="FX167" s="509"/>
      <c r="FY167" s="509"/>
      <c r="FZ167" s="509"/>
      <c r="GA167" s="509"/>
      <c r="GB167" s="509"/>
      <c r="GC167" s="509"/>
      <c r="GD167" s="509"/>
      <c r="GE167" s="509"/>
      <c r="GF167" s="509"/>
      <c r="GG167" s="509"/>
      <c r="GH167" s="509"/>
      <c r="GI167" s="509"/>
      <c r="GJ167" s="509"/>
      <c r="GK167" s="509"/>
      <c r="GL167" s="509"/>
      <c r="GM167" s="509"/>
      <c r="GN167" s="509"/>
      <c r="GO167" s="509"/>
      <c r="GP167" s="509"/>
      <c r="GQ167" s="509"/>
      <c r="GR167" s="509"/>
      <c r="GS167" s="509"/>
      <c r="GT167" s="510"/>
      <c r="GU167" s="509"/>
      <c r="GV167" s="509"/>
      <c r="GW167" s="509"/>
      <c r="GX167" s="509"/>
      <c r="GY167" s="510"/>
      <c r="GZ167" s="510"/>
      <c r="HA167" s="510"/>
      <c r="HB167" s="510"/>
      <c r="HC167" s="510"/>
      <c r="HD167" s="510"/>
      <c r="HE167" s="510"/>
      <c r="HF167" s="510"/>
      <c r="HG167" s="510"/>
      <c r="HH167" s="510"/>
      <c r="HI167" s="510"/>
      <c r="HJ167" s="510"/>
      <c r="HK167" s="510"/>
      <c r="HL167" s="510"/>
      <c r="HM167" s="510"/>
      <c r="HN167" s="510"/>
      <c r="HO167" s="510"/>
      <c r="HP167" s="510"/>
      <c r="HQ167" s="510"/>
      <c r="HR167" s="510"/>
      <c r="HS167" s="510"/>
      <c r="HT167" s="510"/>
      <c r="HU167" s="510"/>
      <c r="HV167" s="510"/>
      <c r="HW167" s="510"/>
      <c r="HX167" s="510"/>
      <c r="HY167" s="510"/>
      <c r="HZ167" s="510"/>
      <c r="IA167" s="510"/>
      <c r="IB167" s="510"/>
      <c r="IC167" s="510"/>
      <c r="ID167" s="510"/>
      <c r="IE167" s="509"/>
      <c r="IF167" s="509"/>
      <c r="IG167" s="509"/>
      <c r="IH167" s="509"/>
      <c r="II167" s="509"/>
      <c r="IJ167" s="509"/>
      <c r="IK167" s="511"/>
      <c r="IL167" s="509"/>
      <c r="IM167" s="509"/>
      <c r="IN167" s="509"/>
      <c r="IO167" s="509"/>
      <c r="IP167" s="509"/>
      <c r="IQ167" s="509"/>
      <c r="IR167" s="509"/>
      <c r="IS167" s="509"/>
      <c r="IT167" s="509"/>
      <c r="IU167" s="509"/>
      <c r="IV167" s="509"/>
      <c r="IW167" s="509"/>
      <c r="IX167" s="509"/>
      <c r="IY167" s="509"/>
      <c r="IZ167" s="509"/>
      <c r="JA167" s="511"/>
      <c r="JB167" s="511"/>
      <c r="JC167" s="509"/>
      <c r="JD167" s="509"/>
      <c r="JE167" s="509"/>
      <c r="JF167" s="509"/>
      <c r="JG167" s="509"/>
      <c r="JH167" s="509"/>
      <c r="JI167" s="509"/>
      <c r="JJ167" s="509"/>
      <c r="JK167" s="509"/>
      <c r="JL167" s="509"/>
      <c r="JM167" s="509"/>
      <c r="JN167" s="509"/>
      <c r="JO167" s="509"/>
      <c r="JP167" s="509"/>
      <c r="JQ167" s="509"/>
      <c r="JR167" s="100"/>
      <c r="JS167" s="100"/>
      <c r="JT167" s="509"/>
      <c r="JU167" s="509"/>
      <c r="JV167" s="509"/>
      <c r="JW167" s="509"/>
      <c r="JX167" s="509"/>
      <c r="JY167" s="509"/>
      <c r="JZ167" s="509"/>
      <c r="KA167" s="509"/>
      <c r="KB167" s="509"/>
      <c r="KC167" s="509"/>
      <c r="KD167" s="509"/>
      <c r="KE167" s="509"/>
      <c r="KF167" s="509"/>
      <c r="KG167" s="509"/>
      <c r="KH167" s="509"/>
      <c r="KI167" s="509"/>
      <c r="KJ167" s="509"/>
    </row>
    <row r="168" spans="1:296" s="96" customFormat="1" ht="15.6" customHeight="1" thickTop="1">
      <c r="A168" s="1"/>
      <c r="B168" s="1"/>
      <c r="C168" s="12" t="s">
        <v>197</v>
      </c>
      <c r="D168" s="1"/>
      <c r="E168" s="1"/>
      <c r="F168" s="2055">
        <f>SUM(F164:G167)</f>
        <v>301696</v>
      </c>
      <c r="G168" s="2056"/>
      <c r="H168" s="1"/>
      <c r="I168" s="1"/>
      <c r="J168" s="13"/>
      <c r="K168" s="1"/>
      <c r="L168" s="1"/>
      <c r="M168" s="1"/>
      <c r="N168" s="1"/>
      <c r="O168" s="1"/>
      <c r="P168" s="1"/>
      <c r="Q168" s="1"/>
      <c r="U168" s="2745"/>
      <c r="V168" s="2746"/>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9"/>
      <c r="EY168" s="509"/>
      <c r="EZ168" s="509"/>
      <c r="FA168" s="509"/>
      <c r="FB168" s="509"/>
      <c r="FC168" s="509"/>
      <c r="FD168" s="509"/>
      <c r="FE168" s="509"/>
      <c r="FF168" s="509"/>
      <c r="FG168" s="509"/>
      <c r="FH168" s="509"/>
      <c r="FI168" s="509"/>
      <c r="FJ168" s="509"/>
      <c r="FK168" s="509"/>
      <c r="FL168" s="509"/>
      <c r="FM168" s="509"/>
      <c r="FN168" s="509"/>
      <c r="FO168" s="509"/>
      <c r="FP168" s="509"/>
      <c r="FQ168" s="509"/>
      <c r="FR168" s="509"/>
      <c r="FS168" s="509"/>
      <c r="FT168" s="509"/>
      <c r="FU168" s="509"/>
      <c r="FV168" s="509"/>
      <c r="FW168" s="509"/>
      <c r="FX168" s="509"/>
      <c r="FY168" s="509"/>
      <c r="FZ168" s="509"/>
      <c r="GA168" s="509"/>
      <c r="GB168" s="509"/>
      <c r="GC168" s="509"/>
      <c r="GD168" s="509"/>
      <c r="GE168" s="509"/>
      <c r="GF168" s="509"/>
      <c r="GG168" s="509"/>
      <c r="GH168" s="509"/>
      <c r="GI168" s="509"/>
      <c r="GJ168" s="509"/>
      <c r="GK168" s="509"/>
      <c r="GL168" s="509"/>
      <c r="GM168" s="509"/>
      <c r="GN168" s="509"/>
      <c r="GO168" s="509"/>
      <c r="GP168" s="509"/>
      <c r="GQ168" s="509"/>
      <c r="GR168" s="509"/>
      <c r="GS168" s="509"/>
      <c r="GT168" s="510"/>
      <c r="GU168" s="509"/>
      <c r="GV168" s="509"/>
      <c r="GW168" s="509"/>
      <c r="GX168" s="509"/>
      <c r="GY168" s="510"/>
      <c r="GZ168" s="510"/>
      <c r="HA168" s="510"/>
      <c r="HB168" s="510"/>
      <c r="HC168" s="510"/>
      <c r="HD168" s="510"/>
      <c r="HE168" s="510"/>
      <c r="HF168" s="510"/>
      <c r="HG168" s="510"/>
      <c r="HH168" s="510"/>
      <c r="HI168" s="510"/>
      <c r="HJ168" s="510"/>
      <c r="HK168" s="510"/>
      <c r="HL168" s="510"/>
      <c r="HM168" s="510"/>
      <c r="HN168" s="510"/>
      <c r="HO168" s="510"/>
      <c r="HP168" s="510"/>
      <c r="HQ168" s="510"/>
      <c r="HR168" s="510"/>
      <c r="HS168" s="510"/>
      <c r="HT168" s="510"/>
      <c r="HU168" s="510"/>
      <c r="HV168" s="510"/>
      <c r="HW168" s="510"/>
      <c r="HX168" s="510"/>
      <c r="HY168" s="510"/>
      <c r="HZ168" s="510"/>
      <c r="IA168" s="510"/>
      <c r="IB168" s="510"/>
      <c r="IC168" s="510"/>
      <c r="ID168" s="510"/>
      <c r="IE168" s="509"/>
      <c r="IF168" s="509"/>
      <c r="IG168" s="509"/>
      <c r="IH168" s="509"/>
      <c r="II168" s="509"/>
      <c r="IJ168" s="509"/>
      <c r="IK168" s="511"/>
      <c r="IL168" s="509"/>
      <c r="IM168" s="509"/>
      <c r="IN168" s="509"/>
      <c r="IO168" s="509"/>
      <c r="IP168" s="509"/>
      <c r="IQ168" s="509"/>
      <c r="IR168" s="509"/>
      <c r="IS168" s="509"/>
      <c r="IT168" s="509"/>
      <c r="IU168" s="509"/>
      <c r="IV168" s="509"/>
      <c r="IW168" s="509"/>
      <c r="IX168" s="509"/>
      <c r="IY168" s="509"/>
      <c r="IZ168" s="509"/>
      <c r="JA168" s="511"/>
      <c r="JB168" s="511"/>
      <c r="JC168" s="509"/>
      <c r="JD168" s="509"/>
      <c r="JE168" s="509"/>
      <c r="JF168" s="509"/>
      <c r="JG168" s="509"/>
      <c r="JH168" s="509"/>
      <c r="JI168" s="509"/>
      <c r="JJ168" s="509"/>
      <c r="JK168" s="509"/>
      <c r="JL168" s="509"/>
      <c r="JM168" s="509"/>
      <c r="JN168" s="509"/>
      <c r="JO168" s="509"/>
      <c r="JP168" s="509"/>
      <c r="JQ168" s="509"/>
      <c r="JR168" s="100"/>
      <c r="JS168" s="100"/>
      <c r="JT168" s="509"/>
      <c r="JU168" s="509"/>
      <c r="JV168" s="509"/>
      <c r="JW168" s="509"/>
      <c r="JX168" s="509"/>
      <c r="JY168" s="509"/>
      <c r="JZ168" s="509"/>
      <c r="KA168" s="509"/>
      <c r="KB168" s="509"/>
      <c r="KC168" s="509"/>
      <c r="KD168" s="509"/>
      <c r="KE168" s="509"/>
      <c r="KF168" s="509"/>
      <c r="KG168" s="509"/>
      <c r="KH168" s="509"/>
      <c r="KI168" s="509"/>
      <c r="KJ168" s="509"/>
    </row>
    <row r="169" spans="1:296" s="96" customFormat="1" ht="6" customHeight="1" thickBot="1">
      <c r="A169" s="1"/>
      <c r="B169" s="1"/>
      <c r="C169" s="10"/>
      <c r="D169" s="12"/>
      <c r="E169" s="1"/>
      <c r="F169" s="13"/>
      <c r="G169" s="13"/>
      <c r="H169" s="1"/>
      <c r="I169" s="1"/>
      <c r="J169" s="13"/>
      <c r="K169" s="1"/>
      <c r="L169" s="1"/>
      <c r="M169" s="10"/>
      <c r="N169" s="1"/>
      <c r="O169" s="12"/>
      <c r="P169" s="5"/>
      <c r="Q169" s="5"/>
      <c r="U169" s="2745"/>
      <c r="V169" s="2746"/>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9"/>
      <c r="EY169" s="509"/>
      <c r="EZ169" s="509"/>
      <c r="FA169" s="509"/>
      <c r="FB169" s="509"/>
      <c r="FC169" s="509"/>
      <c r="FD169" s="509"/>
      <c r="FE169" s="509"/>
      <c r="FF169" s="509"/>
      <c r="FG169" s="509"/>
      <c r="FH169" s="509"/>
      <c r="FI169" s="509"/>
      <c r="FJ169" s="509"/>
      <c r="FK169" s="509"/>
      <c r="FL169" s="509"/>
      <c r="FM169" s="509"/>
      <c r="FN169" s="509"/>
      <c r="FO169" s="509"/>
      <c r="FP169" s="509"/>
      <c r="FQ169" s="509"/>
      <c r="FR169" s="509"/>
      <c r="FS169" s="509"/>
      <c r="FT169" s="509"/>
      <c r="FU169" s="509"/>
      <c r="FV169" s="509"/>
      <c r="FW169" s="509"/>
      <c r="FX169" s="509"/>
      <c r="FY169" s="509"/>
      <c r="FZ169" s="509"/>
      <c r="GA169" s="509"/>
      <c r="GB169" s="509"/>
      <c r="GC169" s="509"/>
      <c r="GD169" s="509"/>
      <c r="GE169" s="509"/>
      <c r="GF169" s="509"/>
      <c r="GG169" s="509"/>
      <c r="GH169" s="509"/>
      <c r="GI169" s="509"/>
      <c r="GJ169" s="509"/>
      <c r="GK169" s="509"/>
      <c r="GL169" s="509"/>
      <c r="GM169" s="509"/>
      <c r="GN169" s="509"/>
      <c r="GO169" s="509"/>
      <c r="GP169" s="509"/>
      <c r="GQ169" s="509"/>
      <c r="GR169" s="509"/>
      <c r="GS169" s="509"/>
      <c r="GT169" s="510"/>
      <c r="GU169" s="509"/>
      <c r="GV169" s="509"/>
      <c r="GW169" s="509"/>
      <c r="GX169" s="509"/>
      <c r="GY169" s="510"/>
      <c r="GZ169" s="510"/>
      <c r="HA169" s="510"/>
      <c r="HB169" s="510"/>
      <c r="HC169" s="510"/>
      <c r="HD169" s="510"/>
      <c r="HE169" s="510"/>
      <c r="HF169" s="510"/>
      <c r="HG169" s="510"/>
      <c r="HH169" s="510"/>
      <c r="HI169" s="510"/>
      <c r="HJ169" s="510"/>
      <c r="HK169" s="510"/>
      <c r="HL169" s="510"/>
      <c r="HM169" s="510"/>
      <c r="HN169" s="510"/>
      <c r="HO169" s="510"/>
      <c r="HP169" s="510"/>
      <c r="HQ169" s="510"/>
      <c r="HR169" s="510"/>
      <c r="HS169" s="510"/>
      <c r="HT169" s="510"/>
      <c r="HU169" s="510"/>
      <c r="HV169" s="510"/>
      <c r="HW169" s="510"/>
      <c r="HX169" s="510"/>
      <c r="HY169" s="510"/>
      <c r="HZ169" s="510"/>
      <c r="IA169" s="510"/>
      <c r="IB169" s="510"/>
      <c r="IC169" s="510"/>
      <c r="ID169" s="510"/>
      <c r="IE169" s="509"/>
      <c r="IF169" s="509"/>
      <c r="IG169" s="509"/>
      <c r="IH169" s="509"/>
      <c r="II169" s="509"/>
      <c r="IJ169" s="509"/>
      <c r="IK169" s="511"/>
      <c r="IL169" s="509"/>
      <c r="IM169" s="509"/>
      <c r="IN169" s="509"/>
      <c r="IO169" s="509"/>
      <c r="IP169" s="509"/>
      <c r="IQ169" s="509"/>
      <c r="IR169" s="509"/>
      <c r="IS169" s="509"/>
      <c r="IT169" s="509"/>
      <c r="IU169" s="509"/>
      <c r="IV169" s="509"/>
      <c r="IW169" s="509"/>
      <c r="IX169" s="509"/>
      <c r="IY169" s="509"/>
      <c r="IZ169" s="509"/>
      <c r="JA169" s="511"/>
      <c r="JB169" s="511"/>
      <c r="JC169" s="509"/>
      <c r="JD169" s="509"/>
      <c r="JE169" s="509"/>
      <c r="JF169" s="509"/>
      <c r="JG169" s="509"/>
      <c r="JH169" s="509"/>
      <c r="JI169" s="509"/>
      <c r="JJ169" s="509"/>
      <c r="JK169" s="509"/>
      <c r="JL169" s="509"/>
      <c r="JM169" s="509"/>
      <c r="JN169" s="509"/>
      <c r="JO169" s="509"/>
      <c r="JP169" s="509"/>
      <c r="JQ169" s="509"/>
      <c r="JR169" s="100"/>
      <c r="JS169" s="100"/>
      <c r="JT169" s="509"/>
      <c r="JU169" s="509"/>
      <c r="JV169" s="509"/>
      <c r="JW169" s="509"/>
      <c r="JX169" s="509"/>
      <c r="JY169" s="509"/>
      <c r="JZ169" s="509"/>
      <c r="KA169" s="509"/>
      <c r="KB169" s="509"/>
      <c r="KC169" s="509"/>
      <c r="KD169" s="509"/>
      <c r="KE169" s="509"/>
      <c r="KF169" s="509"/>
      <c r="KG169" s="509"/>
      <c r="KH169" s="509"/>
      <c r="KI169" s="509"/>
      <c r="KJ169" s="509"/>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141806</v>
      </c>
      <c r="Q170" s="1165"/>
      <c r="U170" s="2745"/>
      <c r="V170" s="2746"/>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9"/>
      <c r="EY170" s="509"/>
      <c r="EZ170" s="509"/>
      <c r="FA170" s="509"/>
      <c r="FB170" s="509"/>
      <c r="FC170" s="509"/>
      <c r="FD170" s="509"/>
      <c r="FE170" s="509"/>
      <c r="FF170" s="509"/>
      <c r="FG170" s="509"/>
      <c r="FH170" s="509"/>
      <c r="FI170" s="509"/>
      <c r="FJ170" s="509"/>
      <c r="FK170" s="509"/>
      <c r="FL170" s="509"/>
      <c r="FM170" s="509"/>
      <c r="FN170" s="509"/>
      <c r="FO170" s="509"/>
      <c r="FP170" s="509"/>
      <c r="FQ170" s="509"/>
      <c r="FR170" s="509"/>
      <c r="FS170" s="509"/>
      <c r="FT170" s="509"/>
      <c r="FU170" s="509"/>
      <c r="FV170" s="509"/>
      <c r="FW170" s="509"/>
      <c r="FX170" s="509"/>
      <c r="FY170" s="509"/>
      <c r="FZ170" s="509"/>
      <c r="GA170" s="509"/>
      <c r="GB170" s="509"/>
      <c r="GC170" s="509"/>
      <c r="GD170" s="509"/>
      <c r="GE170" s="509"/>
      <c r="GF170" s="509"/>
      <c r="GG170" s="509"/>
      <c r="GH170" s="509"/>
      <c r="GI170" s="509"/>
      <c r="GJ170" s="509"/>
      <c r="GK170" s="509"/>
      <c r="GL170" s="509"/>
      <c r="GM170" s="509"/>
      <c r="GN170" s="509"/>
      <c r="GO170" s="509"/>
      <c r="GP170" s="509"/>
      <c r="GQ170" s="509"/>
      <c r="GR170" s="509"/>
      <c r="GS170" s="509"/>
      <c r="GT170" s="510"/>
      <c r="GU170" s="509"/>
      <c r="GV170" s="509"/>
      <c r="GW170" s="509"/>
      <c r="GX170" s="509"/>
      <c r="GY170" s="510"/>
      <c r="GZ170" s="510"/>
      <c r="HA170" s="510"/>
      <c r="HB170" s="510"/>
      <c r="HC170" s="510"/>
      <c r="HD170" s="510"/>
      <c r="HE170" s="510"/>
      <c r="HF170" s="510"/>
      <c r="HG170" s="510"/>
      <c r="HH170" s="510"/>
      <c r="HI170" s="510"/>
      <c r="HJ170" s="510"/>
      <c r="HK170" s="510"/>
      <c r="HL170" s="510"/>
      <c r="HM170" s="510"/>
      <c r="HN170" s="510"/>
      <c r="HO170" s="510"/>
      <c r="HP170" s="510"/>
      <c r="HQ170" s="510"/>
      <c r="HR170" s="510"/>
      <c r="HS170" s="510"/>
      <c r="HT170" s="510"/>
      <c r="HU170" s="510"/>
      <c r="HV170" s="510"/>
      <c r="HW170" s="510"/>
      <c r="HX170" s="510"/>
      <c r="HY170" s="510"/>
      <c r="HZ170" s="510"/>
      <c r="IA170" s="510"/>
      <c r="IB170" s="510"/>
      <c r="IC170" s="510"/>
      <c r="ID170" s="510"/>
      <c r="IE170" s="509"/>
      <c r="IF170" s="509"/>
      <c r="IG170" s="509"/>
      <c r="IH170" s="509"/>
      <c r="II170" s="509"/>
      <c r="IJ170" s="509"/>
      <c r="IK170" s="511"/>
      <c r="IL170" s="509"/>
      <c r="IM170" s="509"/>
      <c r="IN170" s="509"/>
      <c r="IO170" s="509"/>
      <c r="IP170" s="509"/>
      <c r="IQ170" s="509"/>
      <c r="IR170" s="509"/>
      <c r="IS170" s="509"/>
      <c r="IT170" s="509"/>
      <c r="IU170" s="509"/>
      <c r="IV170" s="509"/>
      <c r="IW170" s="509"/>
      <c r="IX170" s="509"/>
      <c r="IY170" s="509"/>
      <c r="IZ170" s="509"/>
      <c r="JA170" s="511"/>
      <c r="JB170" s="511"/>
      <c r="JC170" s="509"/>
      <c r="JD170" s="509"/>
      <c r="JE170" s="509"/>
      <c r="JF170" s="509"/>
      <c r="JG170" s="509"/>
      <c r="JH170" s="509"/>
      <c r="JI170" s="509"/>
      <c r="JJ170" s="509"/>
      <c r="JK170" s="509"/>
      <c r="JL170" s="509"/>
      <c r="JM170" s="509"/>
      <c r="JN170" s="509"/>
      <c r="JO170" s="509"/>
      <c r="JP170" s="509"/>
      <c r="JQ170" s="509"/>
      <c r="JR170" s="100"/>
      <c r="JS170" s="100"/>
      <c r="JT170" s="509"/>
      <c r="JU170" s="509"/>
      <c r="JV170" s="509"/>
      <c r="JW170" s="509"/>
      <c r="JX170" s="509"/>
      <c r="JY170" s="509"/>
      <c r="JZ170" s="509"/>
      <c r="KA170" s="509"/>
      <c r="KB170" s="509"/>
      <c r="KC170" s="509"/>
      <c r="KD170" s="509"/>
      <c r="KE170" s="509"/>
      <c r="KF170" s="509"/>
      <c r="KG170" s="509"/>
      <c r="KH170" s="509"/>
      <c r="KI170" s="509"/>
      <c r="KJ170" s="509"/>
    </row>
    <row r="171" spans="1:296" s="96" customFormat="1" ht="15.6" customHeight="1">
      <c r="A171" s="1"/>
      <c r="B171" s="1" t="s">
        <v>1422</v>
      </c>
      <c r="C171" s="1"/>
      <c r="D171" s="9"/>
      <c r="E171" s="1"/>
      <c r="F171" s="2860">
        <v>10006</v>
      </c>
      <c r="G171" s="2861"/>
      <c r="H171" s="1"/>
      <c r="I171" s="1" t="s">
        <v>1660</v>
      </c>
      <c r="J171" s="1"/>
      <c r="K171" s="2871">
        <v>10000</v>
      </c>
      <c r="L171" s="2872"/>
      <c r="M171" s="1"/>
      <c r="N171" s="439">
        <f>+P170/(O62*0.93)</f>
        <v>733.07485525227457</v>
      </c>
      <c r="O171" s="71" t="s">
        <v>2872</v>
      </c>
      <c r="P171" s="1"/>
      <c r="Q171" s="1"/>
      <c r="U171" s="2745"/>
      <c r="V171" s="2746"/>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9"/>
      <c r="EY171" s="509"/>
      <c r="EZ171" s="509"/>
      <c r="FA171" s="509"/>
      <c r="FB171" s="509"/>
      <c r="FC171" s="509"/>
      <c r="FD171" s="509"/>
      <c r="FE171" s="509"/>
      <c r="FF171" s="509"/>
      <c r="FG171" s="509"/>
      <c r="FH171" s="509"/>
      <c r="FI171" s="509"/>
      <c r="FJ171" s="509"/>
      <c r="FK171" s="509"/>
      <c r="FL171" s="509"/>
      <c r="FM171" s="509"/>
      <c r="FN171" s="509"/>
      <c r="FO171" s="509"/>
      <c r="FP171" s="509"/>
      <c r="FQ171" s="509"/>
      <c r="FR171" s="509"/>
      <c r="FS171" s="509"/>
      <c r="FT171" s="509"/>
      <c r="FU171" s="509"/>
      <c r="FV171" s="509"/>
      <c r="FW171" s="509"/>
      <c r="FX171" s="509"/>
      <c r="FY171" s="509"/>
      <c r="FZ171" s="509"/>
      <c r="GA171" s="509"/>
      <c r="GB171" s="509"/>
      <c r="GC171" s="509"/>
      <c r="GD171" s="509"/>
      <c r="GE171" s="509"/>
      <c r="GF171" s="509"/>
      <c r="GG171" s="509"/>
      <c r="GH171" s="509"/>
      <c r="GI171" s="509"/>
      <c r="GJ171" s="509"/>
      <c r="GK171" s="509"/>
      <c r="GL171" s="509"/>
      <c r="GM171" s="509"/>
      <c r="GN171" s="509"/>
      <c r="GO171" s="509"/>
      <c r="GP171" s="509"/>
      <c r="GQ171" s="509"/>
      <c r="GR171" s="509"/>
      <c r="GS171" s="509"/>
      <c r="GT171" s="510"/>
      <c r="GU171" s="509"/>
      <c r="GV171" s="509"/>
      <c r="GW171" s="509"/>
      <c r="GX171" s="509"/>
      <c r="GY171" s="510"/>
      <c r="GZ171" s="510"/>
      <c r="HA171" s="510"/>
      <c r="HB171" s="510"/>
      <c r="HC171" s="510"/>
      <c r="HD171" s="510"/>
      <c r="HE171" s="510"/>
      <c r="HF171" s="510"/>
      <c r="HG171" s="510"/>
      <c r="HH171" s="510"/>
      <c r="HI171" s="510"/>
      <c r="HJ171" s="510"/>
      <c r="HK171" s="510"/>
      <c r="HL171" s="510"/>
      <c r="HM171" s="510"/>
      <c r="HN171" s="510"/>
      <c r="HO171" s="510"/>
      <c r="HP171" s="510"/>
      <c r="HQ171" s="510"/>
      <c r="HR171" s="510"/>
      <c r="HS171" s="510"/>
      <c r="HT171" s="510"/>
      <c r="HU171" s="510"/>
      <c r="HV171" s="510"/>
      <c r="HW171" s="510"/>
      <c r="HX171" s="510"/>
      <c r="HY171" s="510"/>
      <c r="HZ171" s="510"/>
      <c r="IA171" s="510"/>
      <c r="IB171" s="510"/>
      <c r="IC171" s="510"/>
      <c r="ID171" s="510"/>
      <c r="IE171" s="509"/>
      <c r="IF171" s="509"/>
      <c r="IG171" s="509"/>
      <c r="IH171" s="509"/>
      <c r="II171" s="509"/>
      <c r="IJ171" s="509"/>
      <c r="IK171" s="511"/>
      <c r="IL171" s="509"/>
      <c r="IM171" s="509"/>
      <c r="IN171" s="509"/>
      <c r="IO171" s="509"/>
      <c r="IP171" s="509"/>
      <c r="IQ171" s="509"/>
      <c r="IR171" s="509"/>
      <c r="IS171" s="509"/>
      <c r="IT171" s="509"/>
      <c r="IU171" s="509"/>
      <c r="IV171" s="509"/>
      <c r="IW171" s="509"/>
      <c r="IX171" s="509"/>
      <c r="IY171" s="509"/>
      <c r="IZ171" s="509"/>
      <c r="JA171" s="511"/>
      <c r="JB171" s="511"/>
      <c r="JC171" s="509"/>
      <c r="JD171" s="509"/>
      <c r="JE171" s="509"/>
      <c r="JF171" s="509"/>
      <c r="JG171" s="509"/>
      <c r="JH171" s="509"/>
      <c r="JI171" s="509"/>
      <c r="JJ171" s="509"/>
      <c r="JK171" s="509"/>
      <c r="JL171" s="509"/>
      <c r="JM171" s="509"/>
      <c r="JN171" s="509"/>
      <c r="JO171" s="509"/>
      <c r="JP171" s="509"/>
      <c r="JQ171" s="509"/>
      <c r="JR171" s="100"/>
      <c r="JS171" s="100"/>
      <c r="JT171" s="509"/>
      <c r="JU171" s="509"/>
      <c r="JV171" s="509"/>
      <c r="JW171" s="509"/>
      <c r="JX171" s="509"/>
      <c r="JY171" s="509"/>
      <c r="JZ171" s="509"/>
      <c r="KA171" s="509"/>
      <c r="KB171" s="509"/>
      <c r="KC171" s="509"/>
      <c r="KD171" s="509"/>
      <c r="KE171" s="509"/>
      <c r="KF171" s="509"/>
      <c r="KG171" s="509"/>
      <c r="KH171" s="509"/>
      <c r="KI171" s="509"/>
      <c r="KJ171" s="509"/>
    </row>
    <row r="172" spans="1:296" s="96" customFormat="1" ht="15.6" customHeight="1">
      <c r="A172" s="1"/>
      <c r="B172" s="1" t="s">
        <v>1423</v>
      </c>
      <c r="C172" s="1"/>
      <c r="D172" s="9"/>
      <c r="E172" s="1"/>
      <c r="F172" s="2860">
        <v>12000</v>
      </c>
      <c r="G172" s="2861"/>
      <c r="H172" s="1"/>
      <c r="I172" s="1" t="s">
        <v>2127</v>
      </c>
      <c r="J172" s="1"/>
      <c r="K172" s="2873">
        <v>12000</v>
      </c>
      <c r="L172" s="2874"/>
      <c r="M172" s="1"/>
      <c r="N172" s="439">
        <f>+P170/(O62*0.93)/12</f>
        <v>61.089571271022884</v>
      </c>
      <c r="O172" s="71" t="s">
        <v>2873</v>
      </c>
      <c r="P172" s="1"/>
      <c r="Q172" s="1"/>
      <c r="U172" s="2745"/>
      <c r="V172" s="2746"/>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9"/>
      <c r="EY172" s="509"/>
      <c r="EZ172" s="509"/>
      <c r="FA172" s="509"/>
      <c r="FB172" s="509"/>
      <c r="FC172" s="509"/>
      <c r="FD172" s="509"/>
      <c r="FE172" s="509"/>
      <c r="FF172" s="509"/>
      <c r="FG172" s="509"/>
      <c r="FH172" s="509"/>
      <c r="FI172" s="509"/>
      <c r="FJ172" s="509"/>
      <c r="FK172" s="509"/>
      <c r="FL172" s="509"/>
      <c r="FM172" s="509"/>
      <c r="FN172" s="509"/>
      <c r="FO172" s="509"/>
      <c r="FP172" s="509"/>
      <c r="FQ172" s="509"/>
      <c r="FR172" s="509"/>
      <c r="FS172" s="509"/>
      <c r="FT172" s="509"/>
      <c r="FU172" s="509"/>
      <c r="FV172" s="509"/>
      <c r="FW172" s="509"/>
      <c r="FX172" s="509"/>
      <c r="FY172" s="509"/>
      <c r="FZ172" s="509"/>
      <c r="GA172" s="509"/>
      <c r="GB172" s="509"/>
      <c r="GC172" s="509"/>
      <c r="GD172" s="509"/>
      <c r="GE172" s="509"/>
      <c r="GF172" s="509"/>
      <c r="GG172" s="509"/>
      <c r="GH172" s="509"/>
      <c r="GI172" s="509"/>
      <c r="GJ172" s="509"/>
      <c r="GK172" s="509"/>
      <c r="GL172" s="509"/>
      <c r="GM172" s="509"/>
      <c r="GN172" s="509"/>
      <c r="GO172" s="509"/>
      <c r="GP172" s="509"/>
      <c r="GQ172" s="509"/>
      <c r="GR172" s="509"/>
      <c r="GS172" s="509"/>
      <c r="GT172" s="510"/>
      <c r="GU172" s="509"/>
      <c r="GV172" s="509"/>
      <c r="GW172" s="509"/>
      <c r="GX172" s="509"/>
      <c r="GY172" s="510"/>
      <c r="GZ172" s="510"/>
      <c r="HA172" s="510"/>
      <c r="HB172" s="510"/>
      <c r="HC172" s="510"/>
      <c r="HD172" s="510"/>
      <c r="HE172" s="510"/>
      <c r="HF172" s="510"/>
      <c r="HG172" s="510"/>
      <c r="HH172" s="510"/>
      <c r="HI172" s="510"/>
      <c r="HJ172" s="510"/>
      <c r="HK172" s="510"/>
      <c r="HL172" s="510"/>
      <c r="HM172" s="510"/>
      <c r="HN172" s="510"/>
      <c r="HO172" s="510"/>
      <c r="HP172" s="510"/>
      <c r="HQ172" s="510"/>
      <c r="HR172" s="510"/>
      <c r="HS172" s="510"/>
      <c r="HT172" s="510"/>
      <c r="HU172" s="510"/>
      <c r="HV172" s="510"/>
      <c r="HW172" s="510"/>
      <c r="HX172" s="510"/>
      <c r="HY172" s="510"/>
      <c r="HZ172" s="510"/>
      <c r="IA172" s="510"/>
      <c r="IB172" s="510"/>
      <c r="IC172" s="510"/>
      <c r="ID172" s="510"/>
      <c r="IE172" s="509"/>
      <c r="IF172" s="509"/>
      <c r="IG172" s="509"/>
      <c r="IH172" s="509"/>
      <c r="II172" s="509"/>
      <c r="IJ172" s="509"/>
      <c r="IK172" s="511"/>
      <c r="IL172" s="509"/>
      <c r="IM172" s="509"/>
      <c r="IN172" s="509"/>
      <c r="IO172" s="509"/>
      <c r="IP172" s="509"/>
      <c r="IQ172" s="509"/>
      <c r="IR172" s="509"/>
      <c r="IS172" s="509"/>
      <c r="IT172" s="509"/>
      <c r="IU172" s="509"/>
      <c r="IV172" s="509"/>
      <c r="IW172" s="509"/>
      <c r="IX172" s="509"/>
      <c r="IY172" s="509"/>
      <c r="IZ172" s="509"/>
      <c r="JA172" s="511"/>
      <c r="JB172" s="511"/>
      <c r="JC172" s="509"/>
      <c r="JD172" s="509"/>
      <c r="JE172" s="509"/>
      <c r="JF172" s="509"/>
      <c r="JG172" s="509"/>
      <c r="JH172" s="509"/>
      <c r="JI172" s="509"/>
      <c r="JJ172" s="509"/>
      <c r="JK172" s="509"/>
      <c r="JL172" s="509"/>
      <c r="JM172" s="509"/>
      <c r="JN172" s="509"/>
      <c r="JO172" s="509"/>
      <c r="JP172" s="509"/>
      <c r="JQ172" s="509"/>
      <c r="JR172" s="100"/>
      <c r="JS172" s="100"/>
      <c r="JT172" s="509"/>
      <c r="JU172" s="509"/>
      <c r="JV172" s="509"/>
      <c r="JW172" s="509"/>
      <c r="JX172" s="509"/>
      <c r="JY172" s="509"/>
      <c r="JZ172" s="509"/>
      <c r="KA172" s="509"/>
      <c r="KB172" s="509"/>
      <c r="KC172" s="509"/>
      <c r="KD172" s="509"/>
      <c r="KE172" s="509"/>
      <c r="KF172" s="509"/>
      <c r="KG172" s="509"/>
      <c r="KH172" s="509"/>
      <c r="KI172" s="509"/>
      <c r="KJ172" s="509"/>
    </row>
    <row r="173" spans="1:296" s="96" customFormat="1" ht="15.6" customHeight="1">
      <c r="A173" s="1"/>
      <c r="B173" s="1" t="s">
        <v>1424</v>
      </c>
      <c r="C173" s="1"/>
      <c r="D173" s="9"/>
      <c r="E173" s="1"/>
      <c r="F173" s="2860">
        <v>1000</v>
      </c>
      <c r="G173" s="2861"/>
      <c r="H173" s="1"/>
      <c r="I173" s="1" t="s">
        <v>1661</v>
      </c>
      <c r="J173" s="1"/>
      <c r="K173" s="2873">
        <v>7500</v>
      </c>
      <c r="L173" s="2874"/>
      <c r="M173" s="1"/>
      <c r="N173" s="2078" t="s">
        <v>2546</v>
      </c>
      <c r="O173" s="2079"/>
      <c r="P173" s="2079"/>
      <c r="Q173" s="1807"/>
      <c r="U173" s="2745"/>
      <c r="V173" s="2746"/>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9"/>
      <c r="EY173" s="509"/>
      <c r="EZ173" s="509"/>
      <c r="FA173" s="509"/>
      <c r="FB173" s="509"/>
      <c r="FC173" s="509"/>
      <c r="FD173" s="509"/>
      <c r="FE173" s="509"/>
      <c r="FF173" s="509"/>
      <c r="FG173" s="509"/>
      <c r="FH173" s="509"/>
      <c r="FI173" s="509"/>
      <c r="FJ173" s="509"/>
      <c r="FK173" s="509"/>
      <c r="FL173" s="509"/>
      <c r="FM173" s="509"/>
      <c r="FN173" s="509"/>
      <c r="FO173" s="509"/>
      <c r="FP173" s="509"/>
      <c r="FQ173" s="509"/>
      <c r="FR173" s="509"/>
      <c r="FS173" s="509"/>
      <c r="FT173" s="509"/>
      <c r="FU173" s="509"/>
      <c r="FV173" s="509"/>
      <c r="FW173" s="509"/>
      <c r="FX173" s="509"/>
      <c r="FY173" s="509"/>
      <c r="FZ173" s="509"/>
      <c r="GA173" s="509"/>
      <c r="GB173" s="509"/>
      <c r="GC173" s="509"/>
      <c r="GD173" s="509"/>
      <c r="GE173" s="509"/>
      <c r="GF173" s="509"/>
      <c r="GG173" s="509"/>
      <c r="GH173" s="509"/>
      <c r="GI173" s="509"/>
      <c r="GJ173" s="509"/>
      <c r="GK173" s="509"/>
      <c r="GL173" s="509"/>
      <c r="GM173" s="509"/>
      <c r="GN173" s="509"/>
      <c r="GO173" s="509"/>
      <c r="GP173" s="509"/>
      <c r="GQ173" s="509"/>
      <c r="GR173" s="509"/>
      <c r="GS173" s="509"/>
      <c r="GT173" s="510"/>
      <c r="GU173" s="509"/>
      <c r="GV173" s="509"/>
      <c r="GW173" s="509"/>
      <c r="GX173" s="509"/>
      <c r="GY173" s="510"/>
      <c r="GZ173" s="510"/>
      <c r="HA173" s="510"/>
      <c r="HB173" s="510"/>
      <c r="HC173" s="510"/>
      <c r="HD173" s="510"/>
      <c r="HE173" s="510"/>
      <c r="HF173" s="510"/>
      <c r="HG173" s="510"/>
      <c r="HH173" s="510"/>
      <c r="HI173" s="510"/>
      <c r="HJ173" s="510"/>
      <c r="HK173" s="510"/>
      <c r="HL173" s="510"/>
      <c r="HM173" s="510"/>
      <c r="HN173" s="510"/>
      <c r="HO173" s="510"/>
      <c r="HP173" s="510"/>
      <c r="HQ173" s="510"/>
      <c r="HR173" s="510"/>
      <c r="HS173" s="510"/>
      <c r="HT173" s="510"/>
      <c r="HU173" s="510"/>
      <c r="HV173" s="510"/>
      <c r="HW173" s="510"/>
      <c r="HX173" s="510"/>
      <c r="HY173" s="510"/>
      <c r="HZ173" s="510"/>
      <c r="IA173" s="510"/>
      <c r="IB173" s="510"/>
      <c r="IC173" s="510"/>
      <c r="ID173" s="510"/>
      <c r="IE173" s="509"/>
      <c r="IF173" s="509"/>
      <c r="IG173" s="509"/>
      <c r="IH173" s="509"/>
      <c r="II173" s="509"/>
      <c r="IJ173" s="509"/>
      <c r="IK173" s="511"/>
      <c r="IL173" s="509"/>
      <c r="IM173" s="509"/>
      <c r="IN173" s="509"/>
      <c r="IO173" s="509"/>
      <c r="IP173" s="509"/>
      <c r="IQ173" s="509"/>
      <c r="IR173" s="509"/>
      <c r="IS173" s="509"/>
      <c r="IT173" s="509"/>
      <c r="IU173" s="509"/>
      <c r="IV173" s="509"/>
      <c r="IW173" s="509"/>
      <c r="IX173" s="509"/>
      <c r="IY173" s="509"/>
      <c r="IZ173" s="509"/>
      <c r="JA173" s="511"/>
      <c r="JB173" s="511"/>
      <c r="JC173" s="509"/>
      <c r="JD173" s="509"/>
      <c r="JE173" s="509"/>
      <c r="JF173" s="509"/>
      <c r="JG173" s="509"/>
      <c r="JH173" s="509"/>
      <c r="JI173" s="509"/>
      <c r="JJ173" s="509"/>
      <c r="JK173" s="509"/>
      <c r="JL173" s="509"/>
      <c r="JM173" s="509"/>
      <c r="JN173" s="509"/>
      <c r="JO173" s="509"/>
      <c r="JP173" s="509"/>
      <c r="JQ173" s="509"/>
      <c r="JR173" s="100"/>
      <c r="JS173" s="100"/>
      <c r="JT173" s="509"/>
      <c r="JU173" s="509"/>
      <c r="JV173" s="509"/>
      <c r="JW173" s="509"/>
      <c r="JX173" s="509"/>
      <c r="JY173" s="509"/>
      <c r="JZ173" s="509"/>
      <c r="KA173" s="509"/>
      <c r="KB173" s="509"/>
      <c r="KC173" s="509"/>
      <c r="KD173" s="509"/>
      <c r="KE173" s="509"/>
      <c r="KF173" s="509"/>
      <c r="KG173" s="509"/>
      <c r="KH173" s="509"/>
      <c r="KI173" s="509"/>
      <c r="KJ173" s="509"/>
    </row>
    <row r="174" spans="1:296" s="96" customFormat="1" ht="15.6" customHeight="1" thickBot="1">
      <c r="A174" s="1"/>
      <c r="B174" s="1" t="s">
        <v>2422</v>
      </c>
      <c r="C174" s="1"/>
      <c r="D174" s="9"/>
      <c r="E174" s="1"/>
      <c r="F174" s="2860">
        <v>4400</v>
      </c>
      <c r="G174" s="2861"/>
      <c r="H174" s="1"/>
      <c r="I174" s="2863" t="s">
        <v>4283</v>
      </c>
      <c r="J174" s="2864"/>
      <c r="K174" s="2871">
        <v>2100</v>
      </c>
      <c r="L174" s="2872"/>
      <c r="M174" s="1"/>
      <c r="N174" s="2079"/>
      <c r="O174" s="2079"/>
      <c r="P174" s="2079"/>
      <c r="Q174" s="1807"/>
      <c r="U174" s="2745"/>
      <c r="V174" s="2746"/>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9"/>
      <c r="EY174" s="509"/>
      <c r="EZ174" s="509"/>
      <c r="FA174" s="509"/>
      <c r="FB174" s="509"/>
      <c r="FC174" s="509"/>
      <c r="FD174" s="509"/>
      <c r="FE174" s="509"/>
      <c r="FF174" s="509"/>
      <c r="FG174" s="509"/>
      <c r="FH174" s="509"/>
      <c r="FI174" s="509"/>
      <c r="FJ174" s="509"/>
      <c r="FK174" s="509"/>
      <c r="FL174" s="509"/>
      <c r="FM174" s="509"/>
      <c r="FN174" s="509"/>
      <c r="FO174" s="509"/>
      <c r="FP174" s="509"/>
      <c r="FQ174" s="509"/>
      <c r="FR174" s="509"/>
      <c r="FS174" s="509"/>
      <c r="FT174" s="509"/>
      <c r="FU174" s="509"/>
      <c r="FV174" s="509"/>
      <c r="FW174" s="509"/>
      <c r="FX174" s="509"/>
      <c r="FY174" s="509"/>
      <c r="FZ174" s="509"/>
      <c r="GA174" s="509"/>
      <c r="GB174" s="509"/>
      <c r="GC174" s="509"/>
      <c r="GD174" s="509"/>
      <c r="GE174" s="509"/>
      <c r="GF174" s="509"/>
      <c r="GG174" s="509"/>
      <c r="GH174" s="509"/>
      <c r="GI174" s="509"/>
      <c r="GJ174" s="509"/>
      <c r="GK174" s="509"/>
      <c r="GL174" s="509"/>
      <c r="GM174" s="509"/>
      <c r="GN174" s="509"/>
      <c r="GO174" s="509"/>
      <c r="GP174" s="509"/>
      <c r="GQ174" s="509"/>
      <c r="GR174" s="509"/>
      <c r="GS174" s="509"/>
      <c r="GT174" s="510"/>
      <c r="GU174" s="509"/>
      <c r="GV174" s="509"/>
      <c r="GW174" s="509"/>
      <c r="GX174" s="509"/>
      <c r="GY174" s="510"/>
      <c r="GZ174" s="510"/>
      <c r="HA174" s="510"/>
      <c r="HB174" s="510"/>
      <c r="HC174" s="510"/>
      <c r="HD174" s="510"/>
      <c r="HE174" s="510"/>
      <c r="HF174" s="510"/>
      <c r="HG174" s="510"/>
      <c r="HH174" s="510"/>
      <c r="HI174" s="510"/>
      <c r="HJ174" s="510"/>
      <c r="HK174" s="510"/>
      <c r="HL174" s="510"/>
      <c r="HM174" s="510"/>
      <c r="HN174" s="510"/>
      <c r="HO174" s="510"/>
      <c r="HP174" s="510"/>
      <c r="HQ174" s="510"/>
      <c r="HR174" s="510"/>
      <c r="HS174" s="510"/>
      <c r="HT174" s="510"/>
      <c r="HU174" s="510"/>
      <c r="HV174" s="510"/>
      <c r="HW174" s="510"/>
      <c r="HX174" s="510"/>
      <c r="HY174" s="510"/>
      <c r="HZ174" s="510"/>
      <c r="IA174" s="510"/>
      <c r="IB174" s="510"/>
      <c r="IC174" s="510"/>
      <c r="ID174" s="510"/>
      <c r="IE174" s="509"/>
      <c r="IF174" s="509"/>
      <c r="IG174" s="509"/>
      <c r="IH174" s="509"/>
      <c r="II174" s="509"/>
      <c r="IJ174" s="509"/>
      <c r="IK174" s="511"/>
      <c r="IL174" s="509"/>
      <c r="IM174" s="509"/>
      <c r="IN174" s="509"/>
      <c r="IO174" s="509"/>
      <c r="IP174" s="509"/>
      <c r="IQ174" s="509"/>
      <c r="IR174" s="509"/>
      <c r="IS174" s="509"/>
      <c r="IT174" s="509"/>
      <c r="IU174" s="509"/>
      <c r="IV174" s="509"/>
      <c r="IW174" s="509"/>
      <c r="IX174" s="509"/>
      <c r="IY174" s="509"/>
      <c r="IZ174" s="509"/>
      <c r="JA174" s="511"/>
      <c r="JB174" s="511"/>
      <c r="JC174" s="509"/>
      <c r="JD174" s="509"/>
      <c r="JE174" s="509"/>
      <c r="JF174" s="509"/>
      <c r="JG174" s="509"/>
      <c r="JH174" s="509"/>
      <c r="JI174" s="509"/>
      <c r="JJ174" s="509"/>
      <c r="JK174" s="509"/>
      <c r="JL174" s="509"/>
      <c r="JM174" s="509"/>
      <c r="JN174" s="509"/>
      <c r="JO174" s="509"/>
      <c r="JP174" s="509"/>
      <c r="JQ174" s="509"/>
      <c r="JR174" s="100"/>
      <c r="JS174" s="100"/>
      <c r="JT174" s="509"/>
      <c r="JU174" s="509"/>
      <c r="JV174" s="509"/>
      <c r="JW174" s="509"/>
      <c r="JX174" s="509"/>
      <c r="JY174" s="509"/>
      <c r="JZ174" s="509"/>
      <c r="KA174" s="509"/>
      <c r="KB174" s="509"/>
      <c r="KC174" s="509"/>
      <c r="KD174" s="509"/>
      <c r="KE174" s="509"/>
      <c r="KF174" s="509"/>
      <c r="KG174" s="509"/>
      <c r="KH174" s="509"/>
      <c r="KI174" s="509"/>
      <c r="KJ174" s="509"/>
    </row>
    <row r="175" spans="1:296" s="96" customFormat="1" ht="15.6" customHeight="1" thickTop="1" thickBot="1">
      <c r="A175" s="1"/>
      <c r="B175" s="1" t="s">
        <v>1658</v>
      </c>
      <c r="C175" s="1"/>
      <c r="D175" s="9"/>
      <c r="E175" s="1"/>
      <c r="F175" s="2860">
        <v>12000</v>
      </c>
      <c r="G175" s="2861"/>
      <c r="H175" s="1"/>
      <c r="I175" s="10"/>
      <c r="J175" s="12" t="s">
        <v>197</v>
      </c>
      <c r="K175" s="2080">
        <f>SUM(K171:K174)</f>
        <v>31600</v>
      </c>
      <c r="L175" s="2081"/>
      <c r="M175" s="1"/>
      <c r="U175" s="2748"/>
      <c r="V175" s="2749"/>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9"/>
      <c r="EY175" s="509"/>
      <c r="EZ175" s="509"/>
      <c r="FA175" s="509"/>
      <c r="FB175" s="509"/>
      <c r="FC175" s="509"/>
      <c r="FD175" s="509"/>
      <c r="FE175" s="509"/>
      <c r="FF175" s="509"/>
      <c r="FG175" s="509"/>
      <c r="FH175" s="509"/>
      <c r="FI175" s="509"/>
      <c r="FJ175" s="509"/>
      <c r="FK175" s="509"/>
      <c r="FL175" s="509"/>
      <c r="FM175" s="509"/>
      <c r="FN175" s="509"/>
      <c r="FO175" s="509"/>
      <c r="FP175" s="509"/>
      <c r="FQ175" s="509"/>
      <c r="FR175" s="509"/>
      <c r="FS175" s="509"/>
      <c r="FT175" s="509"/>
      <c r="FU175" s="509"/>
      <c r="FV175" s="509"/>
      <c r="FW175" s="509"/>
      <c r="FX175" s="509"/>
      <c r="FY175" s="509"/>
      <c r="FZ175" s="509"/>
      <c r="GA175" s="509"/>
      <c r="GB175" s="509"/>
      <c r="GC175" s="509"/>
      <c r="GD175" s="509"/>
      <c r="GE175" s="509"/>
      <c r="GF175" s="509"/>
      <c r="GG175" s="509"/>
      <c r="GH175" s="509"/>
      <c r="GI175" s="509"/>
      <c r="GJ175" s="509"/>
      <c r="GK175" s="509"/>
      <c r="GL175" s="509"/>
      <c r="GM175" s="509"/>
      <c r="GN175" s="509"/>
      <c r="GO175" s="509"/>
      <c r="GP175" s="509"/>
      <c r="GQ175" s="509"/>
      <c r="GR175" s="509"/>
      <c r="GS175" s="509"/>
      <c r="GT175" s="510"/>
      <c r="GU175" s="509"/>
      <c r="GV175" s="509"/>
      <c r="GW175" s="509"/>
      <c r="GX175" s="509"/>
      <c r="GY175" s="510"/>
      <c r="GZ175" s="510"/>
      <c r="HA175" s="510"/>
      <c r="HB175" s="510"/>
      <c r="HC175" s="510"/>
      <c r="HD175" s="510"/>
      <c r="HE175" s="510"/>
      <c r="HF175" s="510"/>
      <c r="HG175" s="510"/>
      <c r="HH175" s="510"/>
      <c r="HI175" s="510"/>
      <c r="HJ175" s="510"/>
      <c r="HK175" s="510"/>
      <c r="HL175" s="510"/>
      <c r="HM175" s="510"/>
      <c r="HN175" s="510"/>
      <c r="HO175" s="510"/>
      <c r="HP175" s="510"/>
      <c r="HQ175" s="510"/>
      <c r="HR175" s="510"/>
      <c r="HS175" s="510"/>
      <c r="HT175" s="510"/>
      <c r="HU175" s="510"/>
      <c r="HV175" s="510"/>
      <c r="HW175" s="510"/>
      <c r="HX175" s="510"/>
      <c r="HY175" s="510"/>
      <c r="HZ175" s="510"/>
      <c r="IA175" s="510"/>
      <c r="IB175" s="510"/>
      <c r="IC175" s="510"/>
      <c r="ID175" s="510"/>
      <c r="IE175" s="509"/>
      <c r="IF175" s="509"/>
      <c r="IG175" s="509"/>
      <c r="IH175" s="509"/>
      <c r="II175" s="509"/>
      <c r="IJ175" s="509"/>
      <c r="IK175" s="511"/>
      <c r="IL175" s="509"/>
      <c r="IM175" s="509"/>
      <c r="IN175" s="509"/>
      <c r="IO175" s="509"/>
      <c r="IP175" s="509"/>
      <c r="IQ175" s="509"/>
      <c r="IR175" s="509"/>
      <c r="IS175" s="509"/>
      <c r="IT175" s="509"/>
      <c r="IU175" s="509"/>
      <c r="IV175" s="509"/>
      <c r="IW175" s="509"/>
      <c r="IX175" s="509"/>
      <c r="IY175" s="509"/>
      <c r="IZ175" s="509"/>
      <c r="JA175" s="511"/>
      <c r="JB175" s="511"/>
      <c r="JC175" s="509"/>
      <c r="JD175" s="509"/>
      <c r="JE175" s="509"/>
      <c r="JF175" s="509"/>
      <c r="JG175" s="509"/>
      <c r="JH175" s="509"/>
      <c r="JI175" s="509"/>
      <c r="JJ175" s="509"/>
      <c r="JK175" s="509"/>
      <c r="JL175" s="509"/>
      <c r="JM175" s="509"/>
      <c r="JN175" s="509"/>
      <c r="JO175" s="509"/>
      <c r="JP175" s="509"/>
      <c r="JQ175" s="509"/>
      <c r="JR175" s="100"/>
      <c r="JS175" s="100"/>
      <c r="JT175" s="509"/>
      <c r="JU175" s="509"/>
      <c r="JV175" s="509"/>
      <c r="JW175" s="509"/>
      <c r="JX175" s="509"/>
      <c r="JY175" s="509"/>
      <c r="JZ175" s="509"/>
      <c r="KA175" s="509"/>
      <c r="KB175" s="509"/>
      <c r="KC175" s="509"/>
      <c r="KD175" s="509"/>
      <c r="KE175" s="509"/>
      <c r="KF175" s="509"/>
      <c r="KG175" s="509"/>
      <c r="KH175" s="509"/>
      <c r="KI175" s="509"/>
      <c r="KJ175" s="509"/>
    </row>
    <row r="176" spans="1:296" s="96" customFormat="1" ht="15.6" customHeight="1" thickBot="1">
      <c r="A176" s="1"/>
      <c r="B176" s="2866" t="s">
        <v>4282</v>
      </c>
      <c r="C176" s="2867"/>
      <c r="D176" s="2867"/>
      <c r="E176" s="2868"/>
      <c r="F176" s="2869">
        <v>17486</v>
      </c>
      <c r="G176" s="2870"/>
      <c r="H176" s="1"/>
      <c r="I176" s="1"/>
      <c r="J176" s="13"/>
      <c r="K176" s="1"/>
      <c r="L176" s="1"/>
      <c r="M176" s="1"/>
      <c r="N176" s="10" t="s">
        <v>2265</v>
      </c>
      <c r="O176" s="5"/>
      <c r="P176" s="452">
        <f>F168+F177+F188+K166+K175+K185+P167+P170</f>
        <v>1546226</v>
      </c>
      <c r="Q176" s="1164"/>
      <c r="U176" s="2743"/>
      <c r="V176" s="2744"/>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9"/>
      <c r="EY176" s="509"/>
      <c r="EZ176" s="509"/>
      <c r="FA176" s="509"/>
      <c r="FB176" s="509"/>
      <c r="FC176" s="509"/>
      <c r="FD176" s="509"/>
      <c r="FE176" s="509"/>
      <c r="FF176" s="509"/>
      <c r="FG176" s="509"/>
      <c r="FH176" s="509"/>
      <c r="FI176" s="509"/>
      <c r="FJ176" s="509"/>
      <c r="FK176" s="509"/>
      <c r="FL176" s="509"/>
      <c r="FM176" s="509"/>
      <c r="FN176" s="509"/>
      <c r="FO176" s="509"/>
      <c r="FP176" s="509"/>
      <c r="FQ176" s="509"/>
      <c r="FR176" s="509"/>
      <c r="FS176" s="509"/>
      <c r="FT176" s="509"/>
      <c r="FU176" s="509"/>
      <c r="FV176" s="509"/>
      <c r="FW176" s="509"/>
      <c r="FX176" s="509"/>
      <c r="FY176" s="509"/>
      <c r="FZ176" s="509"/>
      <c r="GA176" s="509"/>
      <c r="GB176" s="509"/>
      <c r="GC176" s="509"/>
      <c r="GD176" s="509"/>
      <c r="GE176" s="509"/>
      <c r="GF176" s="509"/>
      <c r="GG176" s="509"/>
      <c r="GH176" s="509"/>
      <c r="GI176" s="509"/>
      <c r="GJ176" s="509"/>
      <c r="GK176" s="509"/>
      <c r="GL176" s="509"/>
      <c r="GM176" s="509"/>
      <c r="GN176" s="509"/>
      <c r="GO176" s="509"/>
      <c r="GP176" s="509"/>
      <c r="GQ176" s="509"/>
      <c r="GR176" s="509"/>
      <c r="GS176" s="509"/>
      <c r="GT176" s="510"/>
      <c r="GU176" s="509"/>
      <c r="GV176" s="509"/>
      <c r="GW176" s="509"/>
      <c r="GX176" s="509"/>
      <c r="GY176" s="510"/>
      <c r="GZ176" s="510"/>
      <c r="HA176" s="510"/>
      <c r="HB176" s="510"/>
      <c r="HC176" s="510"/>
      <c r="HD176" s="510"/>
      <c r="HE176" s="510"/>
      <c r="HF176" s="510"/>
      <c r="HG176" s="510"/>
      <c r="HH176" s="510"/>
      <c r="HI176" s="510"/>
      <c r="HJ176" s="510"/>
      <c r="HK176" s="510"/>
      <c r="HL176" s="510"/>
      <c r="HM176" s="510"/>
      <c r="HN176" s="510"/>
      <c r="HO176" s="510"/>
      <c r="HP176" s="510"/>
      <c r="HQ176" s="510"/>
      <c r="HR176" s="510"/>
      <c r="HS176" s="510"/>
      <c r="HT176" s="510"/>
      <c r="HU176" s="510"/>
      <c r="HV176" s="510"/>
      <c r="HW176" s="510"/>
      <c r="HX176" s="510"/>
      <c r="HY176" s="510"/>
      <c r="HZ176" s="510"/>
      <c r="IA176" s="510"/>
      <c r="IB176" s="510"/>
      <c r="IC176" s="510"/>
      <c r="ID176" s="510"/>
      <c r="IE176" s="509"/>
      <c r="IF176" s="509"/>
      <c r="IG176" s="509"/>
      <c r="IH176" s="509"/>
      <c r="II176" s="509"/>
      <c r="IJ176" s="509"/>
      <c r="IK176" s="511"/>
      <c r="IL176" s="509"/>
      <c r="IM176" s="509"/>
      <c r="IN176" s="509"/>
      <c r="IO176" s="509"/>
      <c r="IP176" s="509"/>
      <c r="IQ176" s="509"/>
      <c r="IR176" s="509"/>
      <c r="IS176" s="509"/>
      <c r="IT176" s="509"/>
      <c r="IU176" s="509"/>
      <c r="IV176" s="509"/>
      <c r="IW176" s="509"/>
      <c r="IX176" s="509"/>
      <c r="IY176" s="509"/>
      <c r="IZ176" s="509"/>
      <c r="JA176" s="511"/>
      <c r="JB176" s="511"/>
      <c r="JC176" s="509"/>
      <c r="JD176" s="509"/>
      <c r="JE176" s="509"/>
      <c r="JF176" s="509"/>
      <c r="JG176" s="509"/>
      <c r="JH176" s="509"/>
      <c r="JI176" s="509"/>
      <c r="JJ176" s="509"/>
      <c r="JK176" s="509"/>
      <c r="JL176" s="509"/>
      <c r="JM176" s="509"/>
      <c r="JN176" s="509"/>
      <c r="JO176" s="509"/>
      <c r="JP176" s="509"/>
      <c r="JQ176" s="509"/>
      <c r="JR176" s="100"/>
      <c r="JS176" s="100"/>
      <c r="JT176" s="509"/>
      <c r="JU176" s="509"/>
      <c r="JV176" s="509"/>
      <c r="JW176" s="509"/>
      <c r="JX176" s="509"/>
      <c r="JY176" s="509"/>
      <c r="JZ176" s="509"/>
      <c r="KA176" s="509"/>
      <c r="KB176" s="509"/>
      <c r="KC176" s="509"/>
      <c r="KD176" s="509"/>
      <c r="KE176" s="509"/>
      <c r="KF176" s="509"/>
      <c r="KG176" s="509"/>
      <c r="KH176" s="509"/>
      <c r="KI176" s="509"/>
      <c r="KJ176" s="509"/>
    </row>
    <row r="177" spans="1:296" s="96" customFormat="1" ht="15.6" customHeight="1" thickTop="1">
      <c r="A177" s="1"/>
      <c r="B177" s="1"/>
      <c r="C177" s="12" t="s">
        <v>197</v>
      </c>
      <c r="D177" s="1"/>
      <c r="E177" s="1"/>
      <c r="F177" s="2055">
        <f>SUM(F171:G176)</f>
        <v>56892</v>
      </c>
      <c r="G177" s="2056"/>
      <c r="H177" s="1"/>
      <c r="I177" s="1"/>
      <c r="J177" s="13"/>
      <c r="K177" s="1"/>
      <c r="L177" s="1"/>
      <c r="M177" s="1"/>
      <c r="N177" s="439">
        <f>+P176/O62</f>
        <v>7433.7788461538457</v>
      </c>
      <c r="O177" s="71" t="s">
        <v>2874</v>
      </c>
      <c r="U177" s="2745"/>
      <c r="V177" s="2746"/>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9"/>
      <c r="EY177" s="509"/>
      <c r="EZ177" s="509"/>
      <c r="FA177" s="509"/>
      <c r="FB177" s="509"/>
      <c r="FC177" s="509"/>
      <c r="FD177" s="509"/>
      <c r="FE177" s="509"/>
      <c r="FF177" s="509"/>
      <c r="FG177" s="509"/>
      <c r="FH177" s="509"/>
      <c r="FI177" s="509"/>
      <c r="FJ177" s="509"/>
      <c r="FK177" s="509"/>
      <c r="FL177" s="509"/>
      <c r="FM177" s="509"/>
      <c r="FN177" s="509"/>
      <c r="FO177" s="509"/>
      <c r="FP177" s="509"/>
      <c r="FQ177" s="509"/>
      <c r="FR177" s="509"/>
      <c r="FS177" s="509"/>
      <c r="FT177" s="509"/>
      <c r="FU177" s="509"/>
      <c r="FV177" s="509"/>
      <c r="FW177" s="509"/>
      <c r="FX177" s="509"/>
      <c r="FY177" s="509"/>
      <c r="FZ177" s="509"/>
      <c r="GA177" s="509"/>
      <c r="GB177" s="509"/>
      <c r="GC177" s="509"/>
      <c r="GD177" s="509"/>
      <c r="GE177" s="509"/>
      <c r="GF177" s="509"/>
      <c r="GG177" s="509"/>
      <c r="GH177" s="509"/>
      <c r="GI177" s="509"/>
      <c r="GJ177" s="509"/>
      <c r="GK177" s="509"/>
      <c r="GL177" s="509"/>
      <c r="GM177" s="509"/>
      <c r="GN177" s="509"/>
      <c r="GO177" s="509"/>
      <c r="GP177" s="509"/>
      <c r="GQ177" s="509"/>
      <c r="GR177" s="509"/>
      <c r="GS177" s="509"/>
      <c r="GT177" s="510"/>
      <c r="GU177" s="509"/>
      <c r="GV177" s="509"/>
      <c r="GW177" s="509"/>
      <c r="GX177" s="509"/>
      <c r="GY177" s="510"/>
      <c r="GZ177" s="510"/>
      <c r="HA177" s="510"/>
      <c r="HB177" s="510"/>
      <c r="HC177" s="510"/>
      <c r="HD177" s="510"/>
      <c r="HE177" s="510"/>
      <c r="HF177" s="510"/>
      <c r="HG177" s="510"/>
      <c r="HH177" s="510"/>
      <c r="HI177" s="510"/>
      <c r="HJ177" s="510"/>
      <c r="HK177" s="510"/>
      <c r="HL177" s="510"/>
      <c r="HM177" s="510"/>
      <c r="HN177" s="510"/>
      <c r="HO177" s="510"/>
      <c r="HP177" s="510"/>
      <c r="HQ177" s="510"/>
      <c r="HR177" s="510"/>
      <c r="HS177" s="510"/>
      <c r="HT177" s="510"/>
      <c r="HU177" s="510"/>
      <c r="HV177" s="510"/>
      <c r="HW177" s="510"/>
      <c r="HX177" s="510"/>
      <c r="HY177" s="510"/>
      <c r="HZ177" s="510"/>
      <c r="IA177" s="510"/>
      <c r="IB177" s="510"/>
      <c r="IC177" s="510"/>
      <c r="ID177" s="510"/>
      <c r="IE177" s="509"/>
      <c r="IF177" s="509"/>
      <c r="IG177" s="509"/>
      <c r="IH177" s="509"/>
      <c r="II177" s="509"/>
      <c r="IJ177" s="509"/>
      <c r="IK177" s="511"/>
      <c r="IL177" s="509"/>
      <c r="IM177" s="509"/>
      <c r="IN177" s="509"/>
      <c r="IO177" s="509"/>
      <c r="IP177" s="509"/>
      <c r="IQ177" s="509"/>
      <c r="IR177" s="509"/>
      <c r="IS177" s="509"/>
      <c r="IT177" s="509"/>
      <c r="IU177" s="509"/>
      <c r="IV177" s="509"/>
      <c r="IW177" s="509"/>
      <c r="IX177" s="509"/>
      <c r="IY177" s="509"/>
      <c r="IZ177" s="509"/>
      <c r="JA177" s="511"/>
      <c r="JB177" s="511"/>
      <c r="JC177" s="509"/>
      <c r="JD177" s="509"/>
      <c r="JE177" s="509"/>
      <c r="JF177" s="509"/>
      <c r="JG177" s="509"/>
      <c r="JH177" s="509"/>
      <c r="JI177" s="509"/>
      <c r="JJ177" s="509"/>
      <c r="JK177" s="509"/>
      <c r="JL177" s="509"/>
      <c r="JM177" s="509"/>
      <c r="JN177" s="509"/>
      <c r="JO177" s="509"/>
      <c r="JP177" s="509"/>
      <c r="JQ177" s="509"/>
      <c r="JR177" s="100"/>
      <c r="JS177" s="100"/>
      <c r="JT177" s="509"/>
      <c r="JU177" s="509"/>
      <c r="JV177" s="509"/>
      <c r="JW177" s="509"/>
      <c r="JX177" s="509"/>
      <c r="JY177" s="509"/>
      <c r="JZ177" s="509"/>
      <c r="KA177" s="509"/>
      <c r="KB177" s="509"/>
      <c r="KC177" s="509"/>
      <c r="KD177" s="509"/>
      <c r="KE177" s="509"/>
      <c r="KF177" s="509"/>
      <c r="KG177" s="509"/>
      <c r="KH177" s="509"/>
      <c r="KI177" s="509"/>
      <c r="KJ177" s="509"/>
    </row>
    <row r="178" spans="1:296" s="96" customFormat="1" ht="6" customHeight="1" thickBot="1">
      <c r="A178" s="1"/>
      <c r="B178" s="1"/>
      <c r="C178" s="1"/>
      <c r="D178" s="12"/>
      <c r="E178" s="1"/>
      <c r="F178" s="13"/>
      <c r="G178" s="13"/>
      <c r="H178" s="1"/>
      <c r="I178" s="1"/>
      <c r="J178" s="13"/>
      <c r="K178" s="1"/>
      <c r="L178" s="1"/>
      <c r="M178" s="1"/>
      <c r="N178" s="1"/>
      <c r="O178" s="1"/>
      <c r="P178" s="5"/>
      <c r="Q178" s="5"/>
      <c r="U178" s="2745"/>
      <c r="V178" s="2746"/>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9"/>
      <c r="EY178" s="509"/>
      <c r="EZ178" s="509"/>
      <c r="FA178" s="509"/>
      <c r="FB178" s="509"/>
      <c r="FC178" s="509"/>
      <c r="FD178" s="509"/>
      <c r="FE178" s="509"/>
      <c r="FF178" s="509"/>
      <c r="FG178" s="509"/>
      <c r="FH178" s="509"/>
      <c r="FI178" s="509"/>
      <c r="FJ178" s="509"/>
      <c r="FK178" s="509"/>
      <c r="FL178" s="509"/>
      <c r="FM178" s="509"/>
      <c r="FN178" s="509"/>
      <c r="FO178" s="509"/>
      <c r="FP178" s="509"/>
      <c r="FQ178" s="509"/>
      <c r="FR178" s="509"/>
      <c r="FS178" s="509"/>
      <c r="FT178" s="509"/>
      <c r="FU178" s="509"/>
      <c r="FV178" s="509"/>
      <c r="FW178" s="509"/>
      <c r="FX178" s="509"/>
      <c r="FY178" s="509"/>
      <c r="FZ178" s="509"/>
      <c r="GA178" s="509"/>
      <c r="GB178" s="509"/>
      <c r="GC178" s="509"/>
      <c r="GD178" s="509"/>
      <c r="GE178" s="509"/>
      <c r="GF178" s="509"/>
      <c r="GG178" s="509"/>
      <c r="GH178" s="509"/>
      <c r="GI178" s="509"/>
      <c r="GJ178" s="509"/>
      <c r="GK178" s="509"/>
      <c r="GL178" s="509"/>
      <c r="GM178" s="509"/>
      <c r="GN178" s="509"/>
      <c r="GO178" s="509"/>
      <c r="GP178" s="509"/>
      <c r="GQ178" s="509"/>
      <c r="GR178" s="509"/>
      <c r="GS178" s="509"/>
      <c r="GT178" s="510"/>
      <c r="GU178" s="509"/>
      <c r="GV178" s="509"/>
      <c r="GW178" s="509"/>
      <c r="GX178" s="509"/>
      <c r="GY178" s="510"/>
      <c r="GZ178" s="510"/>
      <c r="HA178" s="510"/>
      <c r="HB178" s="510"/>
      <c r="HC178" s="510"/>
      <c r="HD178" s="510"/>
      <c r="HE178" s="510"/>
      <c r="HF178" s="510"/>
      <c r="HG178" s="510"/>
      <c r="HH178" s="510"/>
      <c r="HI178" s="510"/>
      <c r="HJ178" s="510"/>
      <c r="HK178" s="510"/>
      <c r="HL178" s="510"/>
      <c r="HM178" s="510"/>
      <c r="HN178" s="510"/>
      <c r="HO178" s="510"/>
      <c r="HP178" s="510"/>
      <c r="HQ178" s="510"/>
      <c r="HR178" s="510"/>
      <c r="HS178" s="510"/>
      <c r="HT178" s="510"/>
      <c r="HU178" s="510"/>
      <c r="HV178" s="510"/>
      <c r="HW178" s="510"/>
      <c r="HX178" s="510"/>
      <c r="HY178" s="510"/>
      <c r="HZ178" s="510"/>
      <c r="IA178" s="510"/>
      <c r="IB178" s="510"/>
      <c r="IC178" s="510"/>
      <c r="ID178" s="510"/>
      <c r="IE178" s="509"/>
      <c r="IF178" s="509"/>
      <c r="IG178" s="509"/>
      <c r="IH178" s="509"/>
      <c r="II178" s="509"/>
      <c r="IJ178" s="509"/>
      <c r="IK178" s="511"/>
      <c r="IL178" s="509"/>
      <c r="IM178" s="509"/>
      <c r="IN178" s="509"/>
      <c r="IO178" s="509"/>
      <c r="IP178" s="509"/>
      <c r="IQ178" s="509"/>
      <c r="IR178" s="509"/>
      <c r="IS178" s="509"/>
      <c r="IT178" s="509"/>
      <c r="IU178" s="509"/>
      <c r="IV178" s="509"/>
      <c r="IW178" s="509"/>
      <c r="IX178" s="509"/>
      <c r="IY178" s="509"/>
      <c r="IZ178" s="509"/>
      <c r="JA178" s="511"/>
      <c r="JB178" s="511"/>
      <c r="JC178" s="509"/>
      <c r="JD178" s="509"/>
      <c r="JE178" s="509"/>
      <c r="JF178" s="509"/>
      <c r="JG178" s="509"/>
      <c r="JH178" s="509"/>
      <c r="JI178" s="509"/>
      <c r="JJ178" s="509"/>
      <c r="JK178" s="509"/>
      <c r="JL178" s="509"/>
      <c r="JM178" s="509"/>
      <c r="JN178" s="509"/>
      <c r="JO178" s="509"/>
      <c r="JP178" s="509"/>
      <c r="JQ178" s="509"/>
      <c r="JR178" s="100"/>
      <c r="JS178" s="100"/>
      <c r="JT178" s="509"/>
      <c r="JU178" s="509"/>
      <c r="JV178" s="509"/>
      <c r="JW178" s="509"/>
      <c r="JX178" s="509"/>
      <c r="JY178" s="509"/>
      <c r="JZ178" s="509"/>
      <c r="KA178" s="509"/>
      <c r="KB178" s="509"/>
      <c r="KC178" s="509"/>
      <c r="KD178" s="509"/>
      <c r="KE178" s="509"/>
      <c r="KF178" s="509"/>
      <c r="KG178" s="509"/>
      <c r="KH178" s="509"/>
      <c r="KI178" s="509"/>
      <c r="KJ178" s="509"/>
    </row>
    <row r="179" spans="1:296" s="96" customFormat="1" ht="15.75" customHeight="1" thickBot="1">
      <c r="A179" s="1"/>
      <c r="B179" s="10" t="s">
        <v>1342</v>
      </c>
      <c r="C179" s="1"/>
      <c r="D179" s="9"/>
      <c r="E179" s="1"/>
      <c r="F179" s="1"/>
      <c r="G179" s="1"/>
      <c r="H179" s="1"/>
      <c r="I179" s="10" t="s">
        <v>1425</v>
      </c>
      <c r="J179" s="1784" t="s">
        <v>2871</v>
      </c>
      <c r="K179" s="1"/>
      <c r="L179" s="1"/>
      <c r="M179" s="1"/>
      <c r="N179" s="10" t="s">
        <v>3752</v>
      </c>
      <c r="O179" s="10"/>
      <c r="P179" s="453">
        <f>P180*O62</f>
        <v>72800</v>
      </c>
      <c r="Q179" s="1165"/>
      <c r="U179" s="2745"/>
      <c r="V179" s="2746"/>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9"/>
      <c r="EY179" s="509"/>
      <c r="EZ179" s="509"/>
      <c r="FA179" s="509"/>
      <c r="FB179" s="509"/>
      <c r="FC179" s="509"/>
      <c r="FD179" s="509"/>
      <c r="FE179" s="509"/>
      <c r="FF179" s="509"/>
      <c r="FG179" s="509"/>
      <c r="FH179" s="509"/>
      <c r="FI179" s="509"/>
      <c r="FJ179" s="509"/>
      <c r="FK179" s="509"/>
      <c r="FL179" s="509"/>
      <c r="FM179" s="509"/>
      <c r="FN179" s="509"/>
      <c r="FO179" s="509"/>
      <c r="FP179" s="509"/>
      <c r="FQ179" s="509"/>
      <c r="FR179" s="509"/>
      <c r="FS179" s="509"/>
      <c r="FT179" s="509"/>
      <c r="FU179" s="509"/>
      <c r="FV179" s="509"/>
      <c r="FW179" s="509"/>
      <c r="FX179" s="509"/>
      <c r="FY179" s="509"/>
      <c r="FZ179" s="509"/>
      <c r="GA179" s="509"/>
      <c r="GB179" s="509"/>
      <c r="GC179" s="509"/>
      <c r="GD179" s="509"/>
      <c r="GE179" s="509"/>
      <c r="GF179" s="509"/>
      <c r="GG179" s="509"/>
      <c r="GH179" s="509"/>
      <c r="GI179" s="509"/>
      <c r="GJ179" s="509"/>
      <c r="GK179" s="509"/>
      <c r="GL179" s="509"/>
      <c r="GM179" s="509"/>
      <c r="GN179" s="509"/>
      <c r="GO179" s="509"/>
      <c r="GP179" s="509"/>
      <c r="GQ179" s="509"/>
      <c r="GR179" s="509"/>
      <c r="GS179" s="509"/>
      <c r="GT179" s="510"/>
      <c r="GU179" s="509"/>
      <c r="GV179" s="509"/>
      <c r="GW179" s="509"/>
      <c r="GX179" s="509"/>
      <c r="GY179" s="510"/>
      <c r="GZ179" s="510"/>
      <c r="HA179" s="510"/>
      <c r="HB179" s="510"/>
      <c r="HC179" s="510"/>
      <c r="HD179" s="510"/>
      <c r="HE179" s="510"/>
      <c r="HF179" s="510"/>
      <c r="HG179" s="510"/>
      <c r="HH179" s="510"/>
      <c r="HI179" s="510"/>
      <c r="HJ179" s="510"/>
      <c r="HK179" s="510"/>
      <c r="HL179" s="510"/>
      <c r="HM179" s="510"/>
      <c r="HN179" s="510"/>
      <c r="HO179" s="510"/>
      <c r="HP179" s="510"/>
      <c r="HQ179" s="510"/>
      <c r="HR179" s="510"/>
      <c r="HS179" s="510"/>
      <c r="HT179" s="510"/>
      <c r="HU179" s="510"/>
      <c r="HV179" s="510"/>
      <c r="HW179" s="510"/>
      <c r="HX179" s="510"/>
      <c r="HY179" s="510"/>
      <c r="HZ179" s="510"/>
      <c r="IA179" s="510"/>
      <c r="IB179" s="510"/>
      <c r="IC179" s="510"/>
      <c r="ID179" s="510"/>
      <c r="IE179" s="509"/>
      <c r="IF179" s="509"/>
      <c r="IG179" s="509"/>
      <c r="IH179" s="509"/>
      <c r="II179" s="509"/>
      <c r="IJ179" s="509"/>
      <c r="IK179" s="511"/>
      <c r="IL179" s="509"/>
      <c r="IM179" s="509"/>
      <c r="IN179" s="509"/>
      <c r="IO179" s="509"/>
      <c r="IP179" s="509"/>
      <c r="IQ179" s="509"/>
      <c r="IR179" s="509"/>
      <c r="IS179" s="509"/>
      <c r="IT179" s="509"/>
      <c r="IU179" s="509"/>
      <c r="IV179" s="509"/>
      <c r="IW179" s="509"/>
      <c r="IX179" s="509"/>
      <c r="IY179" s="509"/>
      <c r="IZ179" s="509"/>
      <c r="JA179" s="511"/>
      <c r="JB179" s="511"/>
      <c r="JC179" s="509"/>
      <c r="JD179" s="509"/>
      <c r="JE179" s="509"/>
      <c r="JF179" s="509"/>
      <c r="JG179" s="509"/>
      <c r="JH179" s="509"/>
      <c r="JI179" s="509"/>
      <c r="JJ179" s="509"/>
      <c r="JK179" s="509"/>
      <c r="JL179" s="509"/>
      <c r="JM179" s="509"/>
      <c r="JN179" s="509"/>
      <c r="JO179" s="509"/>
      <c r="JP179" s="509"/>
      <c r="JQ179" s="509"/>
      <c r="JR179" s="100"/>
      <c r="JS179" s="100"/>
      <c r="JT179" s="509"/>
      <c r="JU179" s="509"/>
      <c r="JV179" s="509"/>
      <c r="JW179" s="509"/>
      <c r="JX179" s="509"/>
      <c r="JY179" s="509"/>
      <c r="JZ179" s="509"/>
      <c r="KA179" s="509"/>
      <c r="KB179" s="509"/>
      <c r="KC179" s="509"/>
      <c r="KD179" s="509"/>
      <c r="KE179" s="509"/>
      <c r="KF179" s="509"/>
      <c r="KG179" s="509"/>
      <c r="KH179" s="509"/>
      <c r="KI179" s="509"/>
      <c r="KJ179" s="509"/>
    </row>
    <row r="180" spans="1:296" s="96" customFormat="1" ht="15.6" customHeight="1" thickBot="1">
      <c r="A180" s="1"/>
      <c r="B180" s="1" t="s">
        <v>1662</v>
      </c>
      <c r="C180" s="1"/>
      <c r="D180" s="9"/>
      <c r="E180" s="1"/>
      <c r="F180" s="2875">
        <v>25315</v>
      </c>
      <c r="G180" s="2876"/>
      <c r="H180" s="1"/>
      <c r="I180" s="1" t="s">
        <v>1418</v>
      </c>
      <c r="J180" s="524">
        <f>K180/12/O62</f>
        <v>120.19230769230769</v>
      </c>
      <c r="K180" s="2873">
        <v>300000</v>
      </c>
      <c r="L180" s="2874"/>
      <c r="M180" s="1"/>
      <c r="N180" s="109" t="s">
        <v>3753</v>
      </c>
      <c r="O180" s="1"/>
      <c r="P180" s="2877">
        <f>N181</f>
        <v>350</v>
      </c>
      <c r="Q180" s="2878"/>
      <c r="U180" s="2745"/>
      <c r="V180" s="2746"/>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9"/>
      <c r="EY180" s="509"/>
      <c r="EZ180" s="509"/>
      <c r="FA180" s="509"/>
      <c r="FB180" s="509"/>
      <c r="FC180" s="509"/>
      <c r="FD180" s="509"/>
      <c r="FE180" s="509"/>
      <c r="FF180" s="509"/>
      <c r="FG180" s="509"/>
      <c r="FH180" s="509"/>
      <c r="FI180" s="509"/>
      <c r="FJ180" s="509"/>
      <c r="FK180" s="509"/>
      <c r="FL180" s="509"/>
      <c r="FM180" s="509"/>
      <c r="FN180" s="509"/>
      <c r="FO180" s="509"/>
      <c r="FP180" s="509"/>
      <c r="FQ180" s="509"/>
      <c r="FR180" s="509"/>
      <c r="FS180" s="509"/>
      <c r="FT180" s="509"/>
      <c r="FU180" s="509"/>
      <c r="FV180" s="509"/>
      <c r="FW180" s="509"/>
      <c r="FX180" s="509"/>
      <c r="FY180" s="509"/>
      <c r="FZ180" s="509"/>
      <c r="GA180" s="509"/>
      <c r="GB180" s="509"/>
      <c r="GC180" s="509"/>
      <c r="GD180" s="509"/>
      <c r="GE180" s="509"/>
      <c r="GF180" s="509"/>
      <c r="GG180" s="509"/>
      <c r="GH180" s="509"/>
      <c r="GI180" s="509"/>
      <c r="GJ180" s="509"/>
      <c r="GK180" s="509"/>
      <c r="GL180" s="509"/>
      <c r="GM180" s="509"/>
      <c r="GN180" s="509"/>
      <c r="GO180" s="509"/>
      <c r="GP180" s="509"/>
      <c r="GQ180" s="509"/>
      <c r="GR180" s="509"/>
      <c r="GS180" s="509"/>
      <c r="GT180" s="510"/>
      <c r="GU180" s="509"/>
      <c r="GV180" s="509"/>
      <c r="GW180" s="509"/>
      <c r="GX180" s="509"/>
      <c r="GY180" s="510"/>
      <c r="GZ180" s="510"/>
      <c r="HA180" s="510"/>
      <c r="HB180" s="510"/>
      <c r="HC180" s="510"/>
      <c r="HD180" s="510"/>
      <c r="HE180" s="510"/>
      <c r="HF180" s="510"/>
      <c r="HG180" s="510"/>
      <c r="HH180" s="510"/>
      <c r="HI180" s="510"/>
      <c r="HJ180" s="510"/>
      <c r="HK180" s="510"/>
      <c r="HL180" s="510"/>
      <c r="HM180" s="510"/>
      <c r="HN180" s="510"/>
      <c r="HO180" s="510"/>
      <c r="HP180" s="510"/>
      <c r="HQ180" s="510"/>
      <c r="HR180" s="510"/>
      <c r="HS180" s="510"/>
      <c r="HT180" s="510"/>
      <c r="HU180" s="510"/>
      <c r="HV180" s="510"/>
      <c r="HW180" s="510"/>
      <c r="HX180" s="510"/>
      <c r="HY180" s="510"/>
      <c r="HZ180" s="510"/>
      <c r="IA180" s="510"/>
      <c r="IB180" s="510"/>
      <c r="IC180" s="510"/>
      <c r="ID180" s="510"/>
      <c r="IE180" s="509"/>
      <c r="IF180" s="509"/>
      <c r="IG180" s="509"/>
      <c r="IH180" s="509"/>
      <c r="II180" s="509"/>
      <c r="IJ180" s="509"/>
      <c r="IK180" s="511"/>
      <c r="IL180" s="509"/>
      <c r="IM180" s="509"/>
      <c r="IN180" s="509"/>
      <c r="IO180" s="509"/>
      <c r="IP180" s="509"/>
      <c r="IQ180" s="509"/>
      <c r="IR180" s="509"/>
      <c r="IS180" s="509"/>
      <c r="IT180" s="509"/>
      <c r="IU180" s="509"/>
      <c r="IV180" s="509"/>
      <c r="IW180" s="509"/>
      <c r="IX180" s="509"/>
      <c r="IY180" s="509"/>
      <c r="IZ180" s="509"/>
      <c r="JA180" s="511"/>
      <c r="JB180" s="511"/>
      <c r="JC180" s="509"/>
      <c r="JD180" s="509"/>
      <c r="JE180" s="509"/>
      <c r="JF180" s="509"/>
      <c r="JG180" s="509"/>
      <c r="JH180" s="509"/>
      <c r="JI180" s="509"/>
      <c r="JJ180" s="509"/>
      <c r="JK180" s="509"/>
      <c r="JL180" s="509"/>
      <c r="JM180" s="509"/>
      <c r="JN180" s="509"/>
      <c r="JO180" s="509"/>
      <c r="JP180" s="509"/>
      <c r="JQ180" s="509"/>
      <c r="JR180" s="100"/>
      <c r="JS180" s="100"/>
      <c r="JT180" s="509"/>
      <c r="JU180" s="509"/>
      <c r="JV180" s="509"/>
      <c r="JW180" s="509"/>
      <c r="JX180" s="509"/>
      <c r="JY180" s="509"/>
      <c r="JZ180" s="509"/>
      <c r="KA180" s="509"/>
      <c r="KB180" s="509"/>
      <c r="KC180" s="509"/>
      <c r="KD180" s="509"/>
      <c r="KE180" s="509"/>
      <c r="KF180" s="509"/>
      <c r="KG180" s="509"/>
      <c r="KH180" s="509"/>
      <c r="KI180" s="509"/>
      <c r="KJ180" s="509"/>
    </row>
    <row r="181" spans="1:296" s="96" customFormat="1" ht="15.6" customHeight="1">
      <c r="A181" s="1"/>
      <c r="B181" s="1" t="s">
        <v>1663</v>
      </c>
      <c r="C181" s="1"/>
      <c r="D181" s="9"/>
      <c r="E181" s="1"/>
      <c r="F181" s="2875">
        <v>8072</v>
      </c>
      <c r="G181" s="2876"/>
      <c r="H181" s="1"/>
      <c r="I181" s="1" t="s">
        <v>1419</v>
      </c>
      <c r="J181" s="524">
        <f>K181/12/O62</f>
        <v>18.028846153846153</v>
      </c>
      <c r="K181" s="2873">
        <v>45000</v>
      </c>
      <c r="L181" s="2874"/>
      <c r="M181" s="1"/>
      <c r="N181" s="845">
        <f>ROUND(P188/O62,0)</f>
        <v>350</v>
      </c>
      <c r="O181" s="71" t="s">
        <v>2874</v>
      </c>
      <c r="R181" s="844"/>
      <c r="U181" s="2745"/>
      <c r="V181" s="2746"/>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9"/>
      <c r="EY181" s="509"/>
      <c r="EZ181" s="509"/>
      <c r="FA181" s="509"/>
      <c r="FB181" s="509"/>
      <c r="FC181" s="509"/>
      <c r="FD181" s="509"/>
      <c r="FE181" s="509"/>
      <c r="FF181" s="509"/>
      <c r="FG181" s="509"/>
      <c r="FH181" s="509"/>
      <c r="FI181" s="509"/>
      <c r="FJ181" s="509"/>
      <c r="FK181" s="509"/>
      <c r="FL181" s="509"/>
      <c r="FM181" s="509"/>
      <c r="FN181" s="509"/>
      <c r="FO181" s="509"/>
      <c r="FP181" s="509"/>
      <c r="FQ181" s="509"/>
      <c r="FR181" s="509"/>
      <c r="FS181" s="509"/>
      <c r="FT181" s="509"/>
      <c r="FU181" s="509"/>
      <c r="FV181" s="509"/>
      <c r="FW181" s="509"/>
      <c r="FX181" s="509"/>
      <c r="FY181" s="509"/>
      <c r="FZ181" s="509"/>
      <c r="GA181" s="509"/>
      <c r="GB181" s="509"/>
      <c r="GC181" s="509"/>
      <c r="GD181" s="509"/>
      <c r="GE181" s="509"/>
      <c r="GF181" s="509"/>
      <c r="GG181" s="509"/>
      <c r="GH181" s="509"/>
      <c r="GI181" s="509"/>
      <c r="GJ181" s="509"/>
      <c r="GK181" s="509"/>
      <c r="GL181" s="509"/>
      <c r="GM181" s="509"/>
      <c r="GN181" s="509"/>
      <c r="GO181" s="509"/>
      <c r="GP181" s="509"/>
      <c r="GQ181" s="509"/>
      <c r="GR181" s="509"/>
      <c r="GS181" s="509"/>
      <c r="GT181" s="510"/>
      <c r="GU181" s="509"/>
      <c r="GV181" s="509"/>
      <c r="GW181" s="509"/>
      <c r="GX181" s="509"/>
      <c r="GY181" s="510"/>
      <c r="GZ181" s="510"/>
      <c r="HA181" s="510"/>
      <c r="HB181" s="510"/>
      <c r="HC181" s="510"/>
      <c r="HD181" s="510"/>
      <c r="HE181" s="510"/>
      <c r="HF181" s="510"/>
      <c r="HG181" s="510"/>
      <c r="HH181" s="510"/>
      <c r="HI181" s="510"/>
      <c r="HJ181" s="510"/>
      <c r="HK181" s="510"/>
      <c r="HL181" s="510"/>
      <c r="HM181" s="510"/>
      <c r="HN181" s="510"/>
      <c r="HO181" s="510"/>
      <c r="HP181" s="510"/>
      <c r="HQ181" s="510"/>
      <c r="HR181" s="510"/>
      <c r="HS181" s="510"/>
      <c r="HT181" s="510"/>
      <c r="HU181" s="510"/>
      <c r="HV181" s="510"/>
      <c r="HW181" s="510"/>
      <c r="HX181" s="510"/>
      <c r="HY181" s="510"/>
      <c r="HZ181" s="510"/>
      <c r="IA181" s="510"/>
      <c r="IB181" s="510"/>
      <c r="IC181" s="510"/>
      <c r="ID181" s="510"/>
      <c r="IE181" s="509"/>
      <c r="IF181" s="509"/>
      <c r="IG181" s="509"/>
      <c r="IH181" s="509"/>
      <c r="II181" s="509"/>
      <c r="IJ181" s="509"/>
      <c r="IK181" s="511"/>
      <c r="IL181" s="509"/>
      <c r="IM181" s="509"/>
      <c r="IN181" s="509"/>
      <c r="IO181" s="509"/>
      <c r="IP181" s="509"/>
      <c r="IQ181" s="509"/>
      <c r="IR181" s="509"/>
      <c r="IS181" s="509"/>
      <c r="IT181" s="509"/>
      <c r="IU181" s="509"/>
      <c r="IV181" s="509"/>
      <c r="IW181" s="509"/>
      <c r="IX181" s="509"/>
      <c r="IY181" s="509"/>
      <c r="IZ181" s="509"/>
      <c r="JA181" s="511"/>
      <c r="JB181" s="511"/>
      <c r="JC181" s="509"/>
      <c r="JD181" s="509"/>
      <c r="JE181" s="509"/>
      <c r="JF181" s="509"/>
      <c r="JG181" s="509"/>
      <c r="JH181" s="509"/>
      <c r="JI181" s="509"/>
      <c r="JJ181" s="509"/>
      <c r="JK181" s="509"/>
      <c r="JL181" s="509"/>
      <c r="JM181" s="509"/>
      <c r="JN181" s="509"/>
      <c r="JO181" s="509"/>
      <c r="JP181" s="509"/>
      <c r="JQ181" s="509"/>
      <c r="JR181" s="100"/>
      <c r="JS181" s="100"/>
      <c r="JT181" s="509"/>
      <c r="JU181" s="509"/>
      <c r="JV181" s="509"/>
      <c r="JW181" s="509"/>
      <c r="JX181" s="509"/>
      <c r="JY181" s="509"/>
      <c r="JZ181" s="509"/>
      <c r="KA181" s="509"/>
      <c r="KB181" s="509"/>
      <c r="KC181" s="509"/>
      <c r="KD181" s="509"/>
      <c r="KE181" s="509"/>
      <c r="KF181" s="509"/>
      <c r="KG181" s="509"/>
      <c r="KH181" s="509"/>
      <c r="KI181" s="509"/>
      <c r="KJ181" s="509"/>
    </row>
    <row r="182" spans="1:296" s="96" customFormat="1" ht="15.6" customHeight="1">
      <c r="A182" s="1"/>
      <c r="B182" s="1" t="s">
        <v>1664</v>
      </c>
      <c r="C182" s="1"/>
      <c r="D182" s="9"/>
      <c r="E182" s="1"/>
      <c r="F182" s="2875">
        <v>21000</v>
      </c>
      <c r="G182" s="2876"/>
      <c r="H182" s="1"/>
      <c r="I182" s="1" t="s">
        <v>2434</v>
      </c>
      <c r="J182" s="524">
        <f>K182/12/O62</f>
        <v>56.089743589743584</v>
      </c>
      <c r="K182" s="2873">
        <v>140000</v>
      </c>
      <c r="L182" s="2874"/>
      <c r="M182" s="1"/>
      <c r="N182" s="852" t="s">
        <v>2821</v>
      </c>
      <c r="O182" s="853" t="s">
        <v>3679</v>
      </c>
      <c r="P182" s="854" t="s">
        <v>3680</v>
      </c>
      <c r="Q182" s="1160"/>
      <c r="U182" s="2745"/>
      <c r="V182" s="2746"/>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9"/>
      <c r="EY182" s="509"/>
      <c r="EZ182" s="509"/>
      <c r="FA182" s="509"/>
      <c r="FB182" s="509"/>
      <c r="FC182" s="509"/>
      <c r="FD182" s="509"/>
      <c r="FE182" s="509"/>
      <c r="FF182" s="509"/>
      <c r="FG182" s="509"/>
      <c r="FH182" s="509"/>
      <c r="FI182" s="509"/>
      <c r="FJ182" s="509"/>
      <c r="FK182" s="509"/>
      <c r="FL182" s="509"/>
      <c r="FM182" s="509"/>
      <c r="FN182" s="509"/>
      <c r="FO182" s="509"/>
      <c r="FP182" s="509"/>
      <c r="FQ182" s="509"/>
      <c r="FR182" s="509"/>
      <c r="FS182" s="509"/>
      <c r="FT182" s="509"/>
      <c r="FU182" s="509"/>
      <c r="FV182" s="509"/>
      <c r="FW182" s="509"/>
      <c r="FX182" s="509"/>
      <c r="FY182" s="509"/>
      <c r="FZ182" s="509"/>
      <c r="GA182" s="509"/>
      <c r="GB182" s="509"/>
      <c r="GC182" s="509"/>
      <c r="GD182" s="509"/>
      <c r="GE182" s="509"/>
      <c r="GF182" s="509"/>
      <c r="GG182" s="509"/>
      <c r="GH182" s="509"/>
      <c r="GI182" s="509"/>
      <c r="GJ182" s="509"/>
      <c r="GK182" s="509"/>
      <c r="GL182" s="509"/>
      <c r="GM182" s="509"/>
      <c r="GN182" s="509"/>
      <c r="GO182" s="509"/>
      <c r="GP182" s="509"/>
      <c r="GQ182" s="509"/>
      <c r="GR182" s="509"/>
      <c r="GS182" s="509"/>
      <c r="GT182" s="510"/>
      <c r="GU182" s="509"/>
      <c r="GV182" s="509"/>
      <c r="GW182" s="509"/>
      <c r="GX182" s="509"/>
      <c r="GY182" s="510"/>
      <c r="GZ182" s="510"/>
      <c r="HA182" s="510"/>
      <c r="HB182" s="510"/>
      <c r="HC182" s="510"/>
      <c r="HD182" s="510"/>
      <c r="HE182" s="510"/>
      <c r="HF182" s="510"/>
      <c r="HG182" s="510"/>
      <c r="HH182" s="510"/>
      <c r="HI182" s="510"/>
      <c r="HJ182" s="510"/>
      <c r="HK182" s="510"/>
      <c r="HL182" s="510"/>
      <c r="HM182" s="510"/>
      <c r="HN182" s="510"/>
      <c r="HO182" s="510"/>
      <c r="HP182" s="510"/>
      <c r="HQ182" s="510"/>
      <c r="HR182" s="510"/>
      <c r="HS182" s="510"/>
      <c r="HT182" s="510"/>
      <c r="HU182" s="510"/>
      <c r="HV182" s="510"/>
      <c r="HW182" s="510"/>
      <c r="HX182" s="510"/>
      <c r="HY182" s="510"/>
      <c r="HZ182" s="510"/>
      <c r="IA182" s="510"/>
      <c r="IB182" s="510"/>
      <c r="IC182" s="510"/>
      <c r="ID182" s="510"/>
      <c r="IE182" s="509"/>
      <c r="IF182" s="509"/>
      <c r="IG182" s="509"/>
      <c r="IH182" s="509"/>
      <c r="II182" s="509"/>
      <c r="IJ182" s="509"/>
      <c r="IK182" s="511"/>
      <c r="IL182" s="509"/>
      <c r="IM182" s="509"/>
      <c r="IN182" s="509"/>
      <c r="IO182" s="509"/>
      <c r="IP182" s="509"/>
      <c r="IQ182" s="509"/>
      <c r="IR182" s="509"/>
      <c r="IS182" s="509"/>
      <c r="IT182" s="509"/>
      <c r="IU182" s="509"/>
      <c r="IV182" s="509"/>
      <c r="IW182" s="509"/>
      <c r="IX182" s="509"/>
      <c r="IY182" s="509"/>
      <c r="IZ182" s="509"/>
      <c r="JA182" s="511"/>
      <c r="JB182" s="511"/>
      <c r="JC182" s="509"/>
      <c r="JD182" s="509"/>
      <c r="JE182" s="509"/>
      <c r="JF182" s="509"/>
      <c r="JG182" s="509"/>
      <c r="JH182" s="509"/>
      <c r="JI182" s="509"/>
      <c r="JJ182" s="509"/>
      <c r="JK182" s="509"/>
      <c r="JL182" s="509"/>
      <c r="JM182" s="509"/>
      <c r="JN182" s="509"/>
      <c r="JO182" s="509"/>
      <c r="JP182" s="509"/>
      <c r="JQ182" s="509"/>
      <c r="JR182" s="100"/>
      <c r="JS182" s="100"/>
      <c r="JT182" s="509"/>
      <c r="JU182" s="509"/>
      <c r="JV182" s="509"/>
      <c r="JW182" s="509"/>
      <c r="JX182" s="509"/>
      <c r="JY182" s="509"/>
      <c r="JZ182" s="509"/>
      <c r="KA182" s="509"/>
      <c r="KB182" s="509"/>
      <c r="KC182" s="509"/>
      <c r="KD182" s="509"/>
      <c r="KE182" s="509"/>
      <c r="KF182" s="509"/>
      <c r="KG182" s="509"/>
      <c r="KH182" s="509"/>
      <c r="KI182" s="509"/>
      <c r="KJ182" s="509"/>
    </row>
    <row r="183" spans="1:296" s="96" customFormat="1" ht="15.6" customHeight="1">
      <c r="A183" s="1"/>
      <c r="B183" s="1" t="s">
        <v>1039</v>
      </c>
      <c r="C183" s="1"/>
      <c r="D183" s="9"/>
      <c r="E183" s="1"/>
      <c r="F183" s="2860">
        <v>3150</v>
      </c>
      <c r="G183" s="2861"/>
      <c r="H183" s="1"/>
      <c r="I183" s="1" t="s">
        <v>1421</v>
      </c>
      <c r="J183" s="1"/>
      <c r="K183" s="2873">
        <v>19000</v>
      </c>
      <c r="L183" s="2874"/>
      <c r="M183" s="1"/>
      <c r="N183" s="855" t="s">
        <v>41</v>
      </c>
      <c r="O183" s="856"/>
      <c r="P183" s="857"/>
      <c r="Q183" s="856"/>
      <c r="U183" s="2745"/>
      <c r="V183" s="2746"/>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9"/>
      <c r="EY183" s="509"/>
      <c r="EZ183" s="509"/>
      <c r="FA183" s="509"/>
      <c r="FB183" s="509"/>
      <c r="FC183" s="509"/>
      <c r="FD183" s="509"/>
      <c r="FE183" s="509"/>
      <c r="FF183" s="509"/>
      <c r="FG183" s="509"/>
      <c r="FH183" s="509"/>
      <c r="FI183" s="509"/>
      <c r="FJ183" s="509"/>
      <c r="FK183" s="509"/>
      <c r="FL183" s="509"/>
      <c r="FM183" s="509"/>
      <c r="FN183" s="509"/>
      <c r="FO183" s="509"/>
      <c r="FP183" s="509"/>
      <c r="FQ183" s="509"/>
      <c r="FR183" s="509"/>
      <c r="FS183" s="509"/>
      <c r="FT183" s="509"/>
      <c r="FU183" s="509"/>
      <c r="FV183" s="509"/>
      <c r="FW183" s="509"/>
      <c r="FX183" s="509"/>
      <c r="FY183" s="509"/>
      <c r="FZ183" s="509"/>
      <c r="GA183" s="509"/>
      <c r="GB183" s="509"/>
      <c r="GC183" s="509"/>
      <c r="GD183" s="509"/>
      <c r="GE183" s="509"/>
      <c r="GF183" s="509"/>
      <c r="GG183" s="509"/>
      <c r="GH183" s="509"/>
      <c r="GI183" s="509"/>
      <c r="GJ183" s="509"/>
      <c r="GK183" s="509"/>
      <c r="GL183" s="509"/>
      <c r="GM183" s="509"/>
      <c r="GN183" s="509"/>
      <c r="GO183" s="509"/>
      <c r="GP183" s="509"/>
      <c r="GQ183" s="509"/>
      <c r="GR183" s="509"/>
      <c r="GS183" s="509"/>
      <c r="GT183" s="510"/>
      <c r="GU183" s="509"/>
      <c r="GV183" s="509"/>
      <c r="GW183" s="509"/>
      <c r="GX183" s="509"/>
      <c r="GY183" s="510"/>
      <c r="GZ183" s="510"/>
      <c r="HA183" s="510"/>
      <c r="HB183" s="510"/>
      <c r="HC183" s="510"/>
      <c r="HD183" s="510"/>
      <c r="HE183" s="510"/>
      <c r="HF183" s="510"/>
      <c r="HG183" s="510"/>
      <c r="HH183" s="510"/>
      <c r="HI183" s="510"/>
      <c r="HJ183" s="510"/>
      <c r="HK183" s="510"/>
      <c r="HL183" s="510"/>
      <c r="HM183" s="510"/>
      <c r="HN183" s="510"/>
      <c r="HO183" s="510"/>
      <c r="HP183" s="510"/>
      <c r="HQ183" s="510"/>
      <c r="HR183" s="510"/>
      <c r="HS183" s="510"/>
      <c r="HT183" s="510"/>
      <c r="HU183" s="510"/>
      <c r="HV183" s="510"/>
      <c r="HW183" s="510"/>
      <c r="HX183" s="510"/>
      <c r="HY183" s="510"/>
      <c r="HZ183" s="510"/>
      <c r="IA183" s="510"/>
      <c r="IB183" s="510"/>
      <c r="IC183" s="510"/>
      <c r="ID183" s="510"/>
      <c r="IE183" s="509"/>
      <c r="IF183" s="509"/>
      <c r="IG183" s="509"/>
      <c r="IH183" s="509"/>
      <c r="II183" s="509"/>
      <c r="IJ183" s="509"/>
      <c r="IK183" s="511"/>
      <c r="IL183" s="509"/>
      <c r="IM183" s="509"/>
      <c r="IN183" s="509"/>
      <c r="IO183" s="509"/>
      <c r="IP183" s="509"/>
      <c r="IQ183" s="509"/>
      <c r="IR183" s="509"/>
      <c r="IS183" s="509"/>
      <c r="IT183" s="509"/>
      <c r="IU183" s="509"/>
      <c r="IV183" s="509"/>
      <c r="IW183" s="509"/>
      <c r="IX183" s="509"/>
      <c r="IY183" s="509"/>
      <c r="IZ183" s="509"/>
      <c r="JA183" s="511"/>
      <c r="JB183" s="511"/>
      <c r="JC183" s="509"/>
      <c r="JD183" s="509"/>
      <c r="JE183" s="509"/>
      <c r="JF183" s="509"/>
      <c r="JG183" s="509"/>
      <c r="JH183" s="509"/>
      <c r="JI183" s="509"/>
      <c r="JJ183" s="509"/>
      <c r="JK183" s="509"/>
      <c r="JL183" s="509"/>
      <c r="JM183" s="509"/>
      <c r="JN183" s="509"/>
      <c r="JO183" s="509"/>
      <c r="JP183" s="509"/>
      <c r="JQ183" s="509"/>
      <c r="JR183" s="100"/>
      <c r="JS183" s="100"/>
      <c r="JT183" s="509"/>
      <c r="JU183" s="509"/>
      <c r="JV183" s="509"/>
      <c r="JW183" s="509"/>
      <c r="JX183" s="509"/>
      <c r="JY183" s="509"/>
      <c r="JZ183" s="509"/>
      <c r="KA183" s="509"/>
      <c r="KB183" s="509"/>
      <c r="KC183" s="509"/>
      <c r="KD183" s="509"/>
      <c r="KE183" s="509"/>
      <c r="KF183" s="509"/>
      <c r="KG183" s="509"/>
      <c r="KH183" s="509"/>
      <c r="KI183" s="509"/>
      <c r="KJ183" s="509"/>
    </row>
    <row r="184" spans="1:296" s="96" customFormat="1" ht="15.6" customHeight="1" thickBot="1">
      <c r="A184" s="1"/>
      <c r="B184" s="1" t="s">
        <v>1040</v>
      </c>
      <c r="C184" s="1"/>
      <c r="D184" s="9"/>
      <c r="E184" s="1"/>
      <c r="F184" s="2860">
        <v>15695</v>
      </c>
      <c r="G184" s="2861"/>
      <c r="H184" s="1"/>
      <c r="I184" s="2863" t="s">
        <v>53</v>
      </c>
      <c r="J184" s="2864"/>
      <c r="K184" s="2871"/>
      <c r="L184" s="2872"/>
      <c r="M184" s="1"/>
      <c r="N184" s="572" t="s">
        <v>3671</v>
      </c>
      <c r="O184" s="1169" t="str">
        <f>CONCATENATE(SUM(JC48:JG48)," units x $",'DCA Underwriting Assumptions'!$Q$62," =")</f>
        <v>208 units x $350 =</v>
      </c>
      <c r="P184" s="858">
        <f>SUM(JC48:JG48)*'DCA Underwriting Assumptions'!$Q$62</f>
        <v>72800</v>
      </c>
      <c r="Q184" s="1169"/>
      <c r="U184" s="2745"/>
      <c r="V184" s="2746"/>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9"/>
      <c r="EY184" s="509"/>
      <c r="EZ184" s="509"/>
      <c r="FA184" s="509"/>
      <c r="FB184" s="509"/>
      <c r="FC184" s="509"/>
      <c r="FD184" s="509"/>
      <c r="FE184" s="509"/>
      <c r="FF184" s="509"/>
      <c r="FG184" s="509"/>
      <c r="FH184" s="509"/>
      <c r="FI184" s="509"/>
      <c r="FJ184" s="509"/>
      <c r="FK184" s="509"/>
      <c r="FL184" s="509"/>
      <c r="FM184" s="509"/>
      <c r="FN184" s="509"/>
      <c r="FO184" s="509"/>
      <c r="FP184" s="509"/>
      <c r="FQ184" s="509"/>
      <c r="FR184" s="509"/>
      <c r="FS184" s="509"/>
      <c r="FT184" s="509"/>
      <c r="FU184" s="509"/>
      <c r="FV184" s="509"/>
      <c r="FW184" s="509"/>
      <c r="FX184" s="509"/>
      <c r="FY184" s="509"/>
      <c r="FZ184" s="509"/>
      <c r="GA184" s="509"/>
      <c r="GB184" s="509"/>
      <c r="GC184" s="509"/>
      <c r="GD184" s="509"/>
      <c r="GE184" s="509"/>
      <c r="GF184" s="509"/>
      <c r="GG184" s="509"/>
      <c r="GH184" s="509"/>
      <c r="GI184" s="509"/>
      <c r="GJ184" s="509"/>
      <c r="GK184" s="509"/>
      <c r="GL184" s="509"/>
      <c r="GM184" s="509"/>
      <c r="GN184" s="509"/>
      <c r="GO184" s="509"/>
      <c r="GP184" s="509"/>
      <c r="GQ184" s="509"/>
      <c r="GR184" s="509"/>
      <c r="GS184" s="509"/>
      <c r="GT184" s="510"/>
      <c r="GU184" s="509"/>
      <c r="GV184" s="509"/>
      <c r="GW184" s="509"/>
      <c r="GX184" s="509"/>
      <c r="GY184" s="510"/>
      <c r="GZ184" s="510"/>
      <c r="HA184" s="510"/>
      <c r="HB184" s="510"/>
      <c r="HC184" s="510"/>
      <c r="HD184" s="510"/>
      <c r="HE184" s="510"/>
      <c r="HF184" s="510"/>
      <c r="HG184" s="510"/>
      <c r="HH184" s="510"/>
      <c r="HI184" s="510"/>
      <c r="HJ184" s="510"/>
      <c r="HK184" s="510"/>
      <c r="HL184" s="510"/>
      <c r="HM184" s="510"/>
      <c r="HN184" s="510"/>
      <c r="HO184" s="510"/>
      <c r="HP184" s="510"/>
      <c r="HQ184" s="510"/>
      <c r="HR184" s="510"/>
      <c r="HS184" s="510"/>
      <c r="HT184" s="510"/>
      <c r="HU184" s="510"/>
      <c r="HV184" s="510"/>
      <c r="HW184" s="510"/>
      <c r="HX184" s="510"/>
      <c r="HY184" s="510"/>
      <c r="HZ184" s="510"/>
      <c r="IA184" s="510"/>
      <c r="IB184" s="510"/>
      <c r="IC184" s="510"/>
      <c r="ID184" s="510"/>
      <c r="IE184" s="509"/>
      <c r="IF184" s="509"/>
      <c r="IG184" s="509"/>
      <c r="IH184" s="509"/>
      <c r="II184" s="509"/>
      <c r="IJ184" s="509"/>
      <c r="IK184" s="511"/>
      <c r="IL184" s="509"/>
      <c r="IM184" s="509"/>
      <c r="IN184" s="509"/>
      <c r="IO184" s="509"/>
      <c r="IP184" s="509"/>
      <c r="IQ184" s="509"/>
      <c r="IR184" s="509"/>
      <c r="IS184" s="509"/>
      <c r="IT184" s="509"/>
      <c r="IU184" s="509"/>
      <c r="IV184" s="509"/>
      <c r="IW184" s="509"/>
      <c r="IX184" s="509"/>
      <c r="IY184" s="509"/>
      <c r="IZ184" s="509"/>
      <c r="JA184" s="511"/>
      <c r="JB184" s="511"/>
      <c r="JC184" s="509"/>
      <c r="JD184" s="509"/>
      <c r="JE184" s="509"/>
      <c r="JF184" s="509"/>
      <c r="JG184" s="509"/>
      <c r="JH184" s="509"/>
      <c r="JI184" s="509"/>
      <c r="JJ184" s="509"/>
      <c r="JK184" s="509"/>
      <c r="JL184" s="509"/>
      <c r="JM184" s="509"/>
      <c r="JN184" s="509"/>
      <c r="JO184" s="509"/>
      <c r="JP184" s="509"/>
      <c r="JQ184" s="509"/>
      <c r="JR184" s="100"/>
      <c r="JS184" s="100"/>
      <c r="JT184" s="509"/>
      <c r="JU184" s="509"/>
      <c r="JV184" s="509"/>
      <c r="JW184" s="509"/>
      <c r="JX184" s="509"/>
      <c r="JY184" s="509"/>
      <c r="JZ184" s="509"/>
      <c r="KA184" s="509"/>
      <c r="KB184" s="509"/>
      <c r="KC184" s="509"/>
      <c r="KD184" s="509"/>
      <c r="KE184" s="509"/>
      <c r="KF184" s="509"/>
      <c r="KG184" s="509"/>
      <c r="KH184" s="509"/>
      <c r="KI184" s="509"/>
      <c r="KJ184" s="509"/>
    </row>
    <row r="185" spans="1:296" s="96" customFormat="1" ht="15.6" customHeight="1" thickTop="1">
      <c r="A185" s="1"/>
      <c r="B185" s="1" t="s">
        <v>1041</v>
      </c>
      <c r="C185" s="1"/>
      <c r="D185" s="9"/>
      <c r="E185" s="1"/>
      <c r="F185" s="2860">
        <v>12000</v>
      </c>
      <c r="G185" s="2861"/>
      <c r="H185" s="1"/>
      <c r="I185" s="1"/>
      <c r="J185" s="12" t="s">
        <v>197</v>
      </c>
      <c r="K185" s="2080">
        <f>SUM(K180:K184)</f>
        <v>504000</v>
      </c>
      <c r="L185" s="2081"/>
      <c r="M185" s="1"/>
      <c r="N185" s="572" t="s">
        <v>3670</v>
      </c>
      <c r="O185" s="1169" t="str">
        <f>CONCATENATE(SUM(JH48:JL48)," units x $",'DCA Underwriting Assumptions'!$Q$63," =")</f>
        <v>0 units x $250 =</v>
      </c>
      <c r="P185" s="858">
        <f>SUM(JH48:JL48)*'DCA Underwriting Assumptions'!$Q$63</f>
        <v>0</v>
      </c>
      <c r="Q185" s="1169"/>
      <c r="U185" s="2745"/>
      <c r="V185" s="2746"/>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9"/>
      <c r="EY185" s="509"/>
      <c r="EZ185" s="509"/>
      <c r="FA185" s="509"/>
      <c r="FB185" s="509"/>
      <c r="FC185" s="509"/>
      <c r="FD185" s="509"/>
      <c r="FE185" s="509"/>
      <c r="FF185" s="509"/>
      <c r="FG185" s="509"/>
      <c r="FH185" s="509"/>
      <c r="FI185" s="509"/>
      <c r="FJ185" s="509"/>
      <c r="FK185" s="509"/>
      <c r="FL185" s="509"/>
      <c r="FM185" s="509"/>
      <c r="FN185" s="509"/>
      <c r="FO185" s="509"/>
      <c r="FP185" s="509"/>
      <c r="FQ185" s="509"/>
      <c r="FR185" s="509"/>
      <c r="FS185" s="509"/>
      <c r="FT185" s="509"/>
      <c r="FU185" s="509"/>
      <c r="FV185" s="509"/>
      <c r="FW185" s="509"/>
      <c r="FX185" s="509"/>
      <c r="FY185" s="509"/>
      <c r="FZ185" s="509"/>
      <c r="GA185" s="509"/>
      <c r="GB185" s="509"/>
      <c r="GC185" s="509"/>
      <c r="GD185" s="509"/>
      <c r="GE185" s="509"/>
      <c r="GF185" s="509"/>
      <c r="GG185" s="509"/>
      <c r="GH185" s="509"/>
      <c r="GI185" s="509"/>
      <c r="GJ185" s="509"/>
      <c r="GK185" s="509"/>
      <c r="GL185" s="509"/>
      <c r="GM185" s="509"/>
      <c r="GN185" s="509"/>
      <c r="GO185" s="509"/>
      <c r="GP185" s="509"/>
      <c r="GQ185" s="509"/>
      <c r="GR185" s="509"/>
      <c r="GS185" s="509"/>
      <c r="GT185" s="510"/>
      <c r="GU185" s="509"/>
      <c r="GV185" s="509"/>
      <c r="GW185" s="509"/>
      <c r="GX185" s="509"/>
      <c r="GY185" s="510"/>
      <c r="GZ185" s="510"/>
      <c r="HA185" s="510"/>
      <c r="HB185" s="510"/>
      <c r="HC185" s="510"/>
      <c r="HD185" s="510"/>
      <c r="HE185" s="510"/>
      <c r="HF185" s="510"/>
      <c r="HG185" s="510"/>
      <c r="HH185" s="510"/>
      <c r="HI185" s="510"/>
      <c r="HJ185" s="510"/>
      <c r="HK185" s="510"/>
      <c r="HL185" s="510"/>
      <c r="HM185" s="510"/>
      <c r="HN185" s="510"/>
      <c r="HO185" s="510"/>
      <c r="HP185" s="510"/>
      <c r="HQ185" s="510"/>
      <c r="HR185" s="510"/>
      <c r="HS185" s="510"/>
      <c r="HT185" s="510"/>
      <c r="HU185" s="510"/>
      <c r="HV185" s="510"/>
      <c r="HW185" s="510"/>
      <c r="HX185" s="510"/>
      <c r="HY185" s="510"/>
      <c r="HZ185" s="510"/>
      <c r="IA185" s="510"/>
      <c r="IB185" s="510"/>
      <c r="IC185" s="510"/>
      <c r="ID185" s="510"/>
      <c r="IE185" s="509"/>
      <c r="IF185" s="509"/>
      <c r="IG185" s="509"/>
      <c r="IH185" s="509"/>
      <c r="II185" s="509"/>
      <c r="IJ185" s="509"/>
      <c r="IK185" s="511"/>
      <c r="IL185" s="509"/>
      <c r="IM185" s="509"/>
      <c r="IN185" s="509"/>
      <c r="IO185" s="509"/>
      <c r="IP185" s="509"/>
      <c r="IQ185" s="509"/>
      <c r="IR185" s="509"/>
      <c r="IS185" s="509"/>
      <c r="IT185" s="509"/>
      <c r="IU185" s="509"/>
      <c r="IV185" s="509"/>
      <c r="IW185" s="509"/>
      <c r="IX185" s="509"/>
      <c r="IY185" s="509"/>
      <c r="IZ185" s="509"/>
      <c r="JA185" s="511"/>
      <c r="JB185" s="511"/>
      <c r="JC185" s="509"/>
      <c r="JD185" s="509"/>
      <c r="JE185" s="509"/>
      <c r="JF185" s="509"/>
      <c r="JG185" s="509"/>
      <c r="JH185" s="509"/>
      <c r="JI185" s="509"/>
      <c r="JJ185" s="509"/>
      <c r="JK185" s="509"/>
      <c r="JL185" s="509"/>
      <c r="JM185" s="509"/>
      <c r="JN185" s="509"/>
      <c r="JO185" s="509"/>
      <c r="JP185" s="509"/>
      <c r="JQ185" s="509"/>
      <c r="JR185" s="100"/>
      <c r="JS185" s="100"/>
      <c r="JT185" s="509"/>
      <c r="JU185" s="509"/>
      <c r="JV185" s="509"/>
      <c r="JW185" s="509"/>
      <c r="JX185" s="509"/>
      <c r="JY185" s="509"/>
      <c r="JZ185" s="509"/>
      <c r="KA185" s="509"/>
      <c r="KB185" s="509"/>
      <c r="KC185" s="509"/>
      <c r="KD185" s="509"/>
      <c r="KE185" s="509"/>
      <c r="KF185" s="509"/>
      <c r="KG185" s="509"/>
      <c r="KH185" s="509"/>
      <c r="KI185" s="509"/>
      <c r="KJ185" s="509"/>
    </row>
    <row r="186" spans="1:296" s="96" customFormat="1" ht="15.6" customHeight="1">
      <c r="A186" s="1"/>
      <c r="B186" s="1" t="s">
        <v>900</v>
      </c>
      <c r="C186" s="1"/>
      <c r="D186" s="9"/>
      <c r="E186" s="1"/>
      <c r="F186" s="2860">
        <v>54648</v>
      </c>
      <c r="G186" s="2861"/>
      <c r="H186" s="1"/>
      <c r="I186" s="1"/>
      <c r="J186" s="13"/>
      <c r="K186" s="1"/>
      <c r="L186" s="1"/>
      <c r="M186" s="1"/>
      <c r="N186" s="859" t="s">
        <v>3674</v>
      </c>
      <c r="O186" s="1169" t="str">
        <f>CONCATENATE(SUM(JM48:JQ48)," units x $",'DCA Underwriting Assumptions'!$Q$64," =")</f>
        <v>0 units x $420 =</v>
      </c>
      <c r="P186" s="858">
        <f>SUM(JM48:JQ48)*'DCA Underwriting Assumptions'!$Q$64</f>
        <v>0</v>
      </c>
      <c r="Q186" s="1169"/>
      <c r="U186" s="2745"/>
      <c r="V186" s="2746"/>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9"/>
      <c r="EY186" s="509"/>
      <c r="EZ186" s="509"/>
      <c r="FA186" s="509"/>
      <c r="FB186" s="509"/>
      <c r="FC186" s="509"/>
      <c r="FD186" s="509"/>
      <c r="FE186" s="509"/>
      <c r="FF186" s="509"/>
      <c r="FG186" s="509"/>
      <c r="FH186" s="509"/>
      <c r="FI186" s="509"/>
      <c r="FJ186" s="509"/>
      <c r="FK186" s="509"/>
      <c r="FL186" s="509"/>
      <c r="FM186" s="509"/>
      <c r="FN186" s="509"/>
      <c r="FO186" s="509"/>
      <c r="FP186" s="509"/>
      <c r="FQ186" s="509"/>
      <c r="FR186" s="509"/>
      <c r="FS186" s="509"/>
      <c r="FT186" s="509"/>
      <c r="FU186" s="509"/>
      <c r="FV186" s="509"/>
      <c r="FW186" s="509"/>
      <c r="FX186" s="509"/>
      <c r="FY186" s="509"/>
      <c r="FZ186" s="509"/>
      <c r="GA186" s="509"/>
      <c r="GB186" s="509"/>
      <c r="GC186" s="509"/>
      <c r="GD186" s="509"/>
      <c r="GE186" s="509"/>
      <c r="GF186" s="509"/>
      <c r="GG186" s="509"/>
      <c r="GH186" s="509"/>
      <c r="GI186" s="509"/>
      <c r="GJ186" s="509"/>
      <c r="GK186" s="509"/>
      <c r="GL186" s="509"/>
      <c r="GM186" s="509"/>
      <c r="GN186" s="509"/>
      <c r="GO186" s="509"/>
      <c r="GP186" s="509"/>
      <c r="GQ186" s="509"/>
      <c r="GR186" s="509"/>
      <c r="GS186" s="509"/>
      <c r="GT186" s="510"/>
      <c r="GU186" s="509"/>
      <c r="GV186" s="509"/>
      <c r="GW186" s="509"/>
      <c r="GX186" s="509"/>
      <c r="GY186" s="510"/>
      <c r="GZ186" s="510"/>
      <c r="HA186" s="510"/>
      <c r="HB186" s="510"/>
      <c r="HC186" s="510"/>
      <c r="HD186" s="510"/>
      <c r="HE186" s="510"/>
      <c r="HF186" s="510"/>
      <c r="HG186" s="510"/>
      <c r="HH186" s="510"/>
      <c r="HI186" s="510"/>
      <c r="HJ186" s="510"/>
      <c r="HK186" s="510"/>
      <c r="HL186" s="510"/>
      <c r="HM186" s="510"/>
      <c r="HN186" s="510"/>
      <c r="HO186" s="510"/>
      <c r="HP186" s="510"/>
      <c r="HQ186" s="510"/>
      <c r="HR186" s="510"/>
      <c r="HS186" s="510"/>
      <c r="HT186" s="510"/>
      <c r="HU186" s="510"/>
      <c r="HV186" s="510"/>
      <c r="HW186" s="510"/>
      <c r="HX186" s="510"/>
      <c r="HY186" s="510"/>
      <c r="HZ186" s="510"/>
      <c r="IA186" s="510"/>
      <c r="IB186" s="510"/>
      <c r="IC186" s="510"/>
      <c r="ID186" s="510"/>
      <c r="IE186" s="509"/>
      <c r="IF186" s="509"/>
      <c r="IG186" s="509"/>
      <c r="IH186" s="509"/>
      <c r="II186" s="509"/>
      <c r="IJ186" s="509"/>
      <c r="IK186" s="511"/>
      <c r="IL186" s="509"/>
      <c r="IM186" s="509"/>
      <c r="IN186" s="509"/>
      <c r="IO186" s="509"/>
      <c r="IP186" s="509"/>
      <c r="IQ186" s="509"/>
      <c r="IR186" s="509"/>
      <c r="IS186" s="509"/>
      <c r="IT186" s="509"/>
      <c r="IU186" s="509"/>
      <c r="IV186" s="509"/>
      <c r="IW186" s="509"/>
      <c r="IX186" s="509"/>
      <c r="IY186" s="509"/>
      <c r="IZ186" s="509"/>
      <c r="JA186" s="511"/>
      <c r="JB186" s="511"/>
      <c r="JC186" s="509"/>
      <c r="JD186" s="509"/>
      <c r="JE186" s="509"/>
      <c r="JF186" s="509"/>
      <c r="JG186" s="509"/>
      <c r="JH186" s="509"/>
      <c r="JI186" s="509"/>
      <c r="JJ186" s="509"/>
      <c r="JK186" s="509"/>
      <c r="JL186" s="509"/>
      <c r="JM186" s="509"/>
      <c r="JN186" s="509"/>
      <c r="JO186" s="509"/>
      <c r="JP186" s="509"/>
      <c r="JQ186" s="509"/>
      <c r="JR186" s="100"/>
      <c r="JS186" s="100"/>
      <c r="JT186" s="509"/>
      <c r="JU186" s="509"/>
      <c r="JV186" s="509"/>
      <c r="JW186" s="509"/>
      <c r="JX186" s="509"/>
      <c r="JY186" s="509"/>
      <c r="JZ186" s="509"/>
      <c r="KA186" s="509"/>
      <c r="KB186" s="509"/>
      <c r="KC186" s="509"/>
      <c r="KD186" s="509"/>
      <c r="KE186" s="509"/>
      <c r="KF186" s="509"/>
      <c r="KG186" s="509"/>
      <c r="KH186" s="509"/>
      <c r="KI186" s="509"/>
      <c r="KJ186" s="509"/>
    </row>
    <row r="187" spans="1:296" s="96" customFormat="1" ht="15.6" customHeight="1" thickBot="1">
      <c r="A187" s="1"/>
      <c r="B187" s="2866" t="s">
        <v>4284</v>
      </c>
      <c r="C187" s="2867"/>
      <c r="D187" s="2867"/>
      <c r="E187" s="2868"/>
      <c r="F187" s="2869">
        <v>24551</v>
      </c>
      <c r="G187" s="2870"/>
      <c r="H187" s="1"/>
      <c r="I187" s="1"/>
      <c r="J187" s="13"/>
      <c r="K187" s="1"/>
      <c r="L187" s="1"/>
      <c r="M187" s="1"/>
      <c r="N187" s="859" t="s">
        <v>3669</v>
      </c>
      <c r="O187" s="1169" t="str">
        <f>CONCATENATE(O84," units x $",'DCA Underwriting Assumptions'!$Q$64," =")</f>
        <v>0 units x $420 =</v>
      </c>
      <c r="P187" s="858">
        <f>O84*'DCA Underwriting Assumptions'!$Q$64</f>
        <v>0</v>
      </c>
      <c r="Q187" s="1169"/>
      <c r="U187" s="2745"/>
      <c r="V187" s="2746"/>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9"/>
      <c r="EY187" s="509"/>
      <c r="EZ187" s="509"/>
      <c r="FA187" s="509"/>
      <c r="FB187" s="509"/>
      <c r="FC187" s="509"/>
      <c r="FD187" s="509"/>
      <c r="FE187" s="509"/>
      <c r="FF187" s="509"/>
      <c r="FG187" s="509"/>
      <c r="FH187" s="509"/>
      <c r="FI187" s="509"/>
      <c r="FJ187" s="509"/>
      <c r="FK187" s="509"/>
      <c r="FL187" s="509"/>
      <c r="FM187" s="509"/>
      <c r="FN187" s="509"/>
      <c r="FO187" s="509"/>
      <c r="FP187" s="509"/>
      <c r="FQ187" s="509"/>
      <c r="FR187" s="509"/>
      <c r="FS187" s="509"/>
      <c r="FT187" s="509"/>
      <c r="FU187" s="509"/>
      <c r="FV187" s="509"/>
      <c r="FW187" s="509"/>
      <c r="FX187" s="509"/>
      <c r="FY187" s="509"/>
      <c r="FZ187" s="509"/>
      <c r="GA187" s="509"/>
      <c r="GB187" s="509"/>
      <c r="GC187" s="509"/>
      <c r="GD187" s="509"/>
      <c r="GE187" s="509"/>
      <c r="GF187" s="509"/>
      <c r="GG187" s="509"/>
      <c r="GH187" s="509"/>
      <c r="GI187" s="509"/>
      <c r="GJ187" s="509"/>
      <c r="GK187" s="509"/>
      <c r="GL187" s="509"/>
      <c r="GM187" s="509"/>
      <c r="GN187" s="509"/>
      <c r="GO187" s="509"/>
      <c r="GP187" s="509"/>
      <c r="GQ187" s="509"/>
      <c r="GR187" s="509"/>
      <c r="GS187" s="509"/>
      <c r="GT187" s="510"/>
      <c r="GU187" s="509"/>
      <c r="GV187" s="509"/>
      <c r="GW187" s="509"/>
      <c r="GX187" s="509"/>
      <c r="GY187" s="510"/>
      <c r="GZ187" s="510"/>
      <c r="HA187" s="510"/>
      <c r="HB187" s="510"/>
      <c r="HC187" s="510"/>
      <c r="HD187" s="510"/>
      <c r="HE187" s="510"/>
      <c r="HF187" s="510"/>
      <c r="HG187" s="510"/>
      <c r="HH187" s="510"/>
      <c r="HI187" s="510"/>
      <c r="HJ187" s="510"/>
      <c r="HK187" s="510"/>
      <c r="HL187" s="510"/>
      <c r="HM187" s="510"/>
      <c r="HN187" s="510"/>
      <c r="HO187" s="510"/>
      <c r="HP187" s="510"/>
      <c r="HQ187" s="510"/>
      <c r="HR187" s="510"/>
      <c r="HS187" s="510"/>
      <c r="HT187" s="510"/>
      <c r="HU187" s="510"/>
      <c r="HV187" s="510"/>
      <c r="HW187" s="510"/>
      <c r="HX187" s="510"/>
      <c r="HY187" s="510"/>
      <c r="HZ187" s="510"/>
      <c r="IA187" s="510"/>
      <c r="IB187" s="510"/>
      <c r="IC187" s="510"/>
      <c r="ID187" s="510"/>
      <c r="IE187" s="509"/>
      <c r="IF187" s="509"/>
      <c r="IG187" s="509"/>
      <c r="IH187" s="509"/>
      <c r="II187" s="509"/>
      <c r="IJ187" s="509"/>
      <c r="IK187" s="511"/>
      <c r="IL187" s="509"/>
      <c r="IM187" s="509"/>
      <c r="IN187" s="509"/>
      <c r="IO187" s="509"/>
      <c r="IP187" s="509"/>
      <c r="IQ187" s="509"/>
      <c r="IR187" s="509"/>
      <c r="IS187" s="509"/>
      <c r="IT187" s="509"/>
      <c r="IU187" s="509"/>
      <c r="IV187" s="509"/>
      <c r="IW187" s="509"/>
      <c r="IX187" s="509"/>
      <c r="IY187" s="509"/>
      <c r="IZ187" s="509"/>
      <c r="JA187" s="511"/>
      <c r="JB187" s="511"/>
      <c r="JC187" s="509"/>
      <c r="JD187" s="509"/>
      <c r="JE187" s="509"/>
      <c r="JF187" s="509"/>
      <c r="JG187" s="509"/>
      <c r="JH187" s="509"/>
      <c r="JI187" s="509"/>
      <c r="JJ187" s="509"/>
      <c r="JK187" s="509"/>
      <c r="JL187" s="509"/>
      <c r="JM187" s="509"/>
      <c r="JN187" s="509"/>
      <c r="JO187" s="509"/>
      <c r="JP187" s="509"/>
      <c r="JQ187" s="509"/>
      <c r="JR187" s="100"/>
      <c r="JS187" s="100"/>
      <c r="JT187" s="509"/>
      <c r="JU187" s="509"/>
      <c r="JV187" s="509"/>
      <c r="JW187" s="509"/>
      <c r="JX187" s="509"/>
      <c r="JY187" s="509"/>
      <c r="JZ187" s="509"/>
      <c r="KA187" s="509"/>
      <c r="KB187" s="509"/>
      <c r="KC187" s="509"/>
      <c r="KD187" s="509"/>
      <c r="KE187" s="509"/>
      <c r="KF187" s="509"/>
      <c r="KG187" s="509"/>
      <c r="KH187" s="509"/>
      <c r="KI187" s="509"/>
      <c r="KJ187" s="509"/>
    </row>
    <row r="188" spans="1:296" s="96" customFormat="1" ht="15.6" customHeight="1" thickTop="1">
      <c r="A188" s="1"/>
      <c r="B188" s="10"/>
      <c r="C188" s="12" t="s">
        <v>197</v>
      </c>
      <c r="D188" s="1"/>
      <c r="E188" s="1"/>
      <c r="F188" s="2082">
        <f>SUM(F180:G187)</f>
        <v>164431</v>
      </c>
      <c r="G188" s="2083"/>
      <c r="H188" s="1"/>
      <c r="I188" s="1"/>
      <c r="J188" s="13"/>
      <c r="K188" s="1"/>
      <c r="L188" s="1"/>
      <c r="M188" s="1"/>
      <c r="N188" s="860" t="s">
        <v>2824</v>
      </c>
      <c r="O188" s="861">
        <f>SUM(JC48:JG48)+SUM(JH48:JL48)+SUM(JM48:JQ48)+O84</f>
        <v>208</v>
      </c>
      <c r="P188" s="862">
        <f>SUM(P184:P187)</f>
        <v>72800</v>
      </c>
      <c r="Q188" s="1169"/>
      <c r="U188" s="2748"/>
      <c r="V188" s="2749"/>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9"/>
      <c r="EY188" s="509"/>
      <c r="EZ188" s="509"/>
      <c r="FA188" s="509"/>
      <c r="FB188" s="509"/>
      <c r="FC188" s="509"/>
      <c r="FD188" s="509"/>
      <c r="FE188" s="509"/>
      <c r="FF188" s="509"/>
      <c r="FG188" s="509"/>
      <c r="FH188" s="509"/>
      <c r="FI188" s="509"/>
      <c r="FJ188" s="509"/>
      <c r="FK188" s="509"/>
      <c r="FL188" s="509"/>
      <c r="FM188" s="509"/>
      <c r="FN188" s="509"/>
      <c r="FO188" s="509"/>
      <c r="FP188" s="509"/>
      <c r="FQ188" s="509"/>
      <c r="FR188" s="509"/>
      <c r="FS188" s="509"/>
      <c r="FT188" s="509"/>
      <c r="FU188" s="509"/>
      <c r="FV188" s="509"/>
      <c r="FW188" s="509"/>
      <c r="FX188" s="509"/>
      <c r="FY188" s="509"/>
      <c r="FZ188" s="509"/>
      <c r="GA188" s="509"/>
      <c r="GB188" s="509"/>
      <c r="GC188" s="509"/>
      <c r="GD188" s="509"/>
      <c r="GE188" s="509"/>
      <c r="GF188" s="509"/>
      <c r="GG188" s="509"/>
      <c r="GH188" s="509"/>
      <c r="GI188" s="509"/>
      <c r="GJ188" s="509"/>
      <c r="GK188" s="509"/>
      <c r="GL188" s="509"/>
      <c r="GM188" s="509"/>
      <c r="GN188" s="509"/>
      <c r="GO188" s="509"/>
      <c r="GP188" s="509"/>
      <c r="GQ188" s="509"/>
      <c r="GR188" s="509"/>
      <c r="GS188" s="509"/>
      <c r="GT188" s="510"/>
      <c r="GU188" s="509"/>
      <c r="GV188" s="509"/>
      <c r="GW188" s="509"/>
      <c r="GX188" s="509"/>
      <c r="GY188" s="510"/>
      <c r="GZ188" s="510"/>
      <c r="HA188" s="510"/>
      <c r="HB188" s="510"/>
      <c r="HC188" s="510"/>
      <c r="HD188" s="510"/>
      <c r="HE188" s="510"/>
      <c r="HF188" s="510"/>
      <c r="HG188" s="510"/>
      <c r="HH188" s="510"/>
      <c r="HI188" s="510"/>
      <c r="HJ188" s="510"/>
      <c r="HK188" s="510"/>
      <c r="HL188" s="510"/>
      <c r="HM188" s="510"/>
      <c r="HN188" s="510"/>
      <c r="HO188" s="510"/>
      <c r="HP188" s="510"/>
      <c r="HQ188" s="510"/>
      <c r="HR188" s="510"/>
      <c r="HS188" s="510"/>
      <c r="HT188" s="510"/>
      <c r="HU188" s="510"/>
      <c r="HV188" s="510"/>
      <c r="HW188" s="510"/>
      <c r="HX188" s="510"/>
      <c r="HY188" s="510"/>
      <c r="HZ188" s="510"/>
      <c r="IA188" s="510"/>
      <c r="IB188" s="510"/>
      <c r="IC188" s="510"/>
      <c r="ID188" s="510"/>
      <c r="IE188" s="509"/>
      <c r="IF188" s="509"/>
      <c r="IG188" s="509"/>
      <c r="IH188" s="509"/>
      <c r="II188" s="509"/>
      <c r="IJ188" s="509"/>
      <c r="IK188" s="511"/>
      <c r="IL188" s="509"/>
      <c r="IM188" s="509"/>
      <c r="IN188" s="509"/>
      <c r="IO188" s="509"/>
      <c r="IP188" s="509"/>
      <c r="IQ188" s="509"/>
      <c r="IR188" s="509"/>
      <c r="IS188" s="509"/>
      <c r="IT188" s="509"/>
      <c r="IU188" s="509"/>
      <c r="IV188" s="509"/>
      <c r="IW188" s="509"/>
      <c r="IX188" s="509"/>
      <c r="IY188" s="509"/>
      <c r="IZ188" s="509"/>
      <c r="JA188" s="511"/>
      <c r="JB188" s="511"/>
      <c r="JC188" s="509"/>
      <c r="JD188" s="509"/>
      <c r="JE188" s="509"/>
      <c r="JF188" s="509"/>
      <c r="JG188" s="509"/>
      <c r="JH188" s="509"/>
      <c r="JI188" s="509"/>
      <c r="JJ188" s="509"/>
      <c r="JK188" s="509"/>
      <c r="JL188" s="509"/>
      <c r="JM188" s="509"/>
      <c r="JN188" s="509"/>
      <c r="JO188" s="509"/>
      <c r="JP188" s="509"/>
      <c r="JQ188" s="509"/>
      <c r="JR188" s="100"/>
      <c r="JS188" s="100"/>
      <c r="JT188" s="509"/>
      <c r="JU188" s="509"/>
      <c r="JV188" s="509"/>
      <c r="JW188" s="509"/>
      <c r="JX188" s="509"/>
      <c r="JY188" s="509"/>
      <c r="JZ188" s="509"/>
      <c r="KA188" s="509"/>
      <c r="KB188" s="509"/>
      <c r="KC188" s="509"/>
      <c r="KD188" s="509"/>
      <c r="KE188" s="509"/>
      <c r="KF188" s="509"/>
      <c r="KG188" s="509"/>
      <c r="KH188" s="509"/>
      <c r="KI188" s="509"/>
      <c r="KJ188" s="509"/>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9"/>
      <c r="EY189" s="509"/>
      <c r="EZ189" s="509"/>
      <c r="FA189" s="509"/>
      <c r="FB189" s="509"/>
      <c r="FC189" s="509"/>
      <c r="FD189" s="509"/>
      <c r="FE189" s="509"/>
      <c r="FF189" s="509"/>
      <c r="FG189" s="509"/>
      <c r="FH189" s="509"/>
      <c r="FI189" s="509"/>
      <c r="FJ189" s="509"/>
      <c r="FK189" s="509"/>
      <c r="FL189" s="509"/>
      <c r="FM189" s="509"/>
      <c r="FN189" s="509"/>
      <c r="FO189" s="509"/>
      <c r="FP189" s="509"/>
      <c r="FQ189" s="509"/>
      <c r="FR189" s="509"/>
      <c r="FS189" s="509"/>
      <c r="FT189" s="509"/>
      <c r="FU189" s="509"/>
      <c r="FV189" s="509"/>
      <c r="FW189" s="509"/>
      <c r="FX189" s="509"/>
      <c r="FY189" s="509"/>
      <c r="FZ189" s="509"/>
      <c r="GA189" s="509"/>
      <c r="GB189" s="509"/>
      <c r="GC189" s="509"/>
      <c r="GD189" s="509"/>
      <c r="GE189" s="509"/>
      <c r="GF189" s="509"/>
      <c r="GG189" s="509"/>
      <c r="GH189" s="509"/>
      <c r="GI189" s="509"/>
      <c r="GJ189" s="509"/>
      <c r="GK189" s="509"/>
      <c r="GL189" s="509"/>
      <c r="GM189" s="509"/>
      <c r="GN189" s="509"/>
      <c r="GO189" s="509"/>
      <c r="GP189" s="509"/>
      <c r="GQ189" s="509"/>
      <c r="GR189" s="509"/>
      <c r="GS189" s="509"/>
      <c r="GT189" s="510"/>
      <c r="GU189" s="509"/>
      <c r="GV189" s="509"/>
      <c r="GW189" s="509"/>
      <c r="GX189" s="509"/>
      <c r="GY189" s="510"/>
      <c r="GZ189" s="510"/>
      <c r="HA189" s="510"/>
      <c r="HB189" s="510"/>
      <c r="HC189" s="510"/>
      <c r="HD189" s="510"/>
      <c r="HE189" s="510"/>
      <c r="HF189" s="510"/>
      <c r="HG189" s="510"/>
      <c r="HH189" s="510"/>
      <c r="HI189" s="510"/>
      <c r="HJ189" s="510"/>
      <c r="HK189" s="510"/>
      <c r="HL189" s="510"/>
      <c r="HM189" s="510"/>
      <c r="HN189" s="510"/>
      <c r="HO189" s="510"/>
      <c r="HP189" s="510"/>
      <c r="HQ189" s="510"/>
      <c r="HR189" s="510"/>
      <c r="HS189" s="510"/>
      <c r="HT189" s="510"/>
      <c r="HU189" s="510"/>
      <c r="HV189" s="510"/>
      <c r="HW189" s="510"/>
      <c r="HX189" s="510"/>
      <c r="HY189" s="510"/>
      <c r="HZ189" s="510"/>
      <c r="IA189" s="510"/>
      <c r="IB189" s="510"/>
      <c r="IC189" s="510"/>
      <c r="ID189" s="510"/>
      <c r="IE189" s="509"/>
      <c r="IF189" s="509"/>
      <c r="IG189" s="509"/>
      <c r="IH189" s="509"/>
      <c r="II189" s="509"/>
      <c r="IJ189" s="509"/>
      <c r="IK189" s="511"/>
      <c r="IL189" s="509"/>
      <c r="IM189" s="509"/>
      <c r="IN189" s="509"/>
      <c r="IO189" s="509"/>
      <c r="IP189" s="509"/>
      <c r="IQ189" s="509"/>
      <c r="IR189" s="509"/>
      <c r="IS189" s="509"/>
      <c r="IT189" s="509"/>
      <c r="IU189" s="509"/>
      <c r="IV189" s="509"/>
      <c r="IW189" s="509"/>
      <c r="IX189" s="509"/>
      <c r="IY189" s="509"/>
      <c r="IZ189" s="509"/>
      <c r="JA189" s="511"/>
      <c r="JB189" s="511"/>
      <c r="JC189" s="509"/>
      <c r="JD189" s="509"/>
      <c r="JE189" s="509"/>
      <c r="JF189" s="509"/>
      <c r="JG189" s="509"/>
      <c r="JH189" s="509"/>
      <c r="JI189" s="509"/>
      <c r="JJ189" s="509"/>
      <c r="JK189" s="509"/>
      <c r="JL189" s="509"/>
      <c r="JM189" s="509"/>
      <c r="JN189" s="509"/>
      <c r="JO189" s="509"/>
      <c r="JP189" s="509"/>
      <c r="JQ189" s="509"/>
      <c r="JR189" s="100"/>
      <c r="JS189" s="100"/>
      <c r="JT189" s="509"/>
      <c r="JU189" s="509"/>
      <c r="JV189" s="509"/>
      <c r="JW189" s="509"/>
      <c r="JX189" s="509"/>
      <c r="JY189" s="509"/>
      <c r="JZ189" s="509"/>
      <c r="KA189" s="509"/>
      <c r="KB189" s="509"/>
      <c r="KC189" s="509"/>
      <c r="KD189" s="509"/>
      <c r="KE189" s="509"/>
      <c r="KF189" s="509"/>
      <c r="KG189" s="509"/>
      <c r="KH189" s="509"/>
      <c r="KI189" s="509"/>
      <c r="KJ189" s="509"/>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1619026</v>
      </c>
      <c r="Q190" s="1164"/>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9"/>
      <c r="EY190" s="509"/>
      <c r="EZ190" s="509"/>
      <c r="FA190" s="509"/>
      <c r="FB190" s="509"/>
      <c r="FC190" s="509"/>
      <c r="FD190" s="509"/>
      <c r="FE190" s="509"/>
      <c r="FF190" s="509"/>
      <c r="FG190" s="509"/>
      <c r="FH190" s="509"/>
      <c r="FI190" s="509"/>
      <c r="FJ190" s="509"/>
      <c r="FK190" s="509"/>
      <c r="FL190" s="509"/>
      <c r="FM190" s="509"/>
      <c r="FN190" s="509"/>
      <c r="FO190" s="509"/>
      <c r="FP190" s="509"/>
      <c r="FQ190" s="509"/>
      <c r="FR190" s="509"/>
      <c r="FS190" s="509"/>
      <c r="FT190" s="509"/>
      <c r="FU190" s="509"/>
      <c r="FV190" s="509"/>
      <c r="FW190" s="509"/>
      <c r="FX190" s="509"/>
      <c r="FY190" s="509"/>
      <c r="FZ190" s="509"/>
      <c r="GA190" s="509"/>
      <c r="GB190" s="509"/>
      <c r="GC190" s="509"/>
      <c r="GD190" s="509"/>
      <c r="GE190" s="509"/>
      <c r="GF190" s="509"/>
      <c r="GG190" s="509"/>
      <c r="GH190" s="509"/>
      <c r="GI190" s="509"/>
      <c r="GJ190" s="509"/>
      <c r="GK190" s="509"/>
      <c r="GL190" s="509"/>
      <c r="GM190" s="509"/>
      <c r="GN190" s="509"/>
      <c r="GO190" s="509"/>
      <c r="GP190" s="509"/>
      <c r="GQ190" s="509"/>
      <c r="GR190" s="509"/>
      <c r="GS190" s="509"/>
      <c r="GT190" s="510"/>
      <c r="GU190" s="509"/>
      <c r="GV190" s="509"/>
      <c r="GW190" s="509"/>
      <c r="GX190" s="509"/>
      <c r="GY190" s="510"/>
      <c r="GZ190" s="510"/>
      <c r="HA190" s="510"/>
      <c r="HB190" s="510"/>
      <c r="HC190" s="510"/>
      <c r="HD190" s="510"/>
      <c r="HE190" s="510"/>
      <c r="HF190" s="510"/>
      <c r="HG190" s="510"/>
      <c r="HH190" s="510"/>
      <c r="HI190" s="510"/>
      <c r="HJ190" s="510"/>
      <c r="HK190" s="510"/>
      <c r="HL190" s="510"/>
      <c r="HM190" s="510"/>
      <c r="HN190" s="510"/>
      <c r="HO190" s="510"/>
      <c r="HP190" s="510"/>
      <c r="HQ190" s="510"/>
      <c r="HR190" s="510"/>
      <c r="HS190" s="510"/>
      <c r="HT190" s="510"/>
      <c r="HU190" s="510"/>
      <c r="HV190" s="510"/>
      <c r="HW190" s="510"/>
      <c r="HX190" s="510"/>
      <c r="HY190" s="510"/>
      <c r="HZ190" s="510"/>
      <c r="IA190" s="510"/>
      <c r="IB190" s="510"/>
      <c r="IC190" s="510"/>
      <c r="ID190" s="510"/>
      <c r="IE190" s="509"/>
      <c r="IF190" s="509"/>
      <c r="IG190" s="509"/>
      <c r="IH190" s="509"/>
      <c r="II190" s="509"/>
      <c r="IJ190" s="509"/>
      <c r="IK190" s="511"/>
      <c r="IL190" s="509"/>
      <c r="IM190" s="509"/>
      <c r="IN190" s="509"/>
      <c r="IO190" s="509"/>
      <c r="IP190" s="509"/>
      <c r="IQ190" s="509"/>
      <c r="IR190" s="509"/>
      <c r="IS190" s="509"/>
      <c r="IT190" s="509"/>
      <c r="IU190" s="509"/>
      <c r="IV190" s="509"/>
      <c r="IW190" s="509"/>
      <c r="IX190" s="509"/>
      <c r="IY190" s="509"/>
      <c r="IZ190" s="509"/>
      <c r="JA190" s="511"/>
      <c r="JB190" s="511"/>
      <c r="JC190" s="509"/>
      <c r="JD190" s="509"/>
      <c r="JE190" s="509"/>
      <c r="JF190" s="509"/>
      <c r="JG190" s="509"/>
      <c r="JH190" s="509"/>
      <c r="JI190" s="509"/>
      <c r="JJ190" s="509"/>
      <c r="JK190" s="509"/>
      <c r="JL190" s="509"/>
      <c r="JM190" s="509"/>
      <c r="JN190" s="509"/>
      <c r="JO190" s="509"/>
      <c r="JP190" s="509"/>
      <c r="JQ190" s="509"/>
      <c r="JR190" s="100"/>
      <c r="JS190" s="100"/>
      <c r="JT190" s="509"/>
      <c r="JU190" s="509"/>
      <c r="JV190" s="509"/>
      <c r="JW190" s="509"/>
      <c r="JX190" s="509"/>
      <c r="JY190" s="509"/>
      <c r="JZ190" s="509"/>
      <c r="KA190" s="509"/>
      <c r="KB190" s="509"/>
      <c r="KC190" s="509"/>
      <c r="KD190" s="509"/>
      <c r="KE190" s="509"/>
      <c r="KF190" s="509"/>
      <c r="KG190" s="509"/>
      <c r="KH190" s="509"/>
      <c r="KI190" s="509"/>
      <c r="KJ190" s="509"/>
    </row>
    <row r="191" spans="1:296" ht="12" customHeight="1">
      <c r="A191" s="14" t="s">
        <v>1860</v>
      </c>
      <c r="B191" s="14" t="s">
        <v>593</v>
      </c>
      <c r="K191" s="14" t="s">
        <v>549</v>
      </c>
      <c r="L191" s="14" t="s">
        <v>1915</v>
      </c>
    </row>
    <row r="192" spans="1:296" ht="149.25" customHeight="1">
      <c r="A192" s="2574" t="s">
        <v>4370</v>
      </c>
      <c r="B192" s="2575"/>
      <c r="C192" s="2575"/>
      <c r="D192" s="2575"/>
      <c r="E192" s="2575"/>
      <c r="F192" s="2575"/>
      <c r="G192" s="2575"/>
      <c r="H192" s="2575"/>
      <c r="I192" s="2575"/>
      <c r="J192" s="2576"/>
      <c r="K192" s="2577"/>
      <c r="L192" s="2578"/>
      <c r="M192" s="2578"/>
      <c r="N192" s="2578"/>
      <c r="O192" s="2578"/>
      <c r="P192" s="2579"/>
      <c r="Q192" s="1592"/>
      <c r="U192" s="1936" t="s">
        <v>2796</v>
      </c>
      <c r="V192" s="1936"/>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9"/>
      <c r="EY197" s="509"/>
      <c r="EZ197" s="509"/>
      <c r="FA197" s="509"/>
      <c r="FB197" s="509"/>
      <c r="FC197" s="509"/>
      <c r="FD197" s="509"/>
      <c r="FE197" s="509"/>
      <c r="FF197" s="509"/>
      <c r="FG197" s="509"/>
      <c r="FH197" s="509"/>
      <c r="FI197" s="509"/>
      <c r="FJ197" s="509"/>
      <c r="FK197" s="509"/>
      <c r="FL197" s="509"/>
      <c r="FM197" s="509"/>
      <c r="FN197" s="509"/>
      <c r="FO197" s="509"/>
      <c r="FP197" s="509"/>
      <c r="FQ197" s="509"/>
      <c r="FR197" s="509"/>
      <c r="FS197" s="509"/>
      <c r="FT197" s="509"/>
      <c r="FU197" s="509"/>
      <c r="FV197" s="509"/>
      <c r="FW197" s="509"/>
      <c r="FX197" s="509"/>
      <c r="FY197" s="509"/>
      <c r="FZ197" s="509"/>
      <c r="GA197" s="509"/>
      <c r="GB197" s="509"/>
      <c r="GC197" s="509"/>
      <c r="GD197" s="509"/>
      <c r="GE197" s="509"/>
      <c r="GF197" s="509"/>
      <c r="GG197" s="509"/>
      <c r="GH197" s="509"/>
      <c r="GI197" s="509"/>
      <c r="GJ197" s="509"/>
      <c r="GK197" s="509"/>
      <c r="GL197" s="509"/>
      <c r="GM197" s="509"/>
      <c r="GN197" s="509"/>
      <c r="GO197" s="509"/>
      <c r="GP197" s="509"/>
      <c r="GQ197" s="509"/>
      <c r="GR197" s="509"/>
      <c r="GS197" s="509"/>
      <c r="GT197" s="510"/>
      <c r="GU197" s="509"/>
      <c r="GV197" s="509"/>
      <c r="GW197" s="509"/>
      <c r="GX197" s="509"/>
      <c r="GY197" s="510"/>
      <c r="GZ197" s="510"/>
      <c r="HA197" s="510"/>
      <c r="HB197" s="510"/>
      <c r="HC197" s="510"/>
      <c r="HD197" s="510"/>
      <c r="HE197" s="510"/>
      <c r="HF197" s="510"/>
      <c r="HG197" s="510"/>
      <c r="HH197" s="510"/>
      <c r="HI197" s="510"/>
      <c r="HJ197" s="510"/>
      <c r="HK197" s="510"/>
      <c r="HL197" s="510"/>
      <c r="HM197" s="510"/>
      <c r="HN197" s="510"/>
      <c r="HO197" s="510"/>
      <c r="HP197" s="510"/>
      <c r="HQ197" s="510"/>
      <c r="HR197" s="510"/>
      <c r="HS197" s="510"/>
      <c r="HT197" s="510"/>
      <c r="HU197" s="510"/>
      <c r="HV197" s="510"/>
      <c r="HW197" s="510"/>
      <c r="HX197" s="510"/>
      <c r="HY197" s="510"/>
      <c r="HZ197" s="510"/>
      <c r="IA197" s="510"/>
      <c r="IB197" s="510"/>
      <c r="IC197" s="510"/>
      <c r="ID197" s="510"/>
      <c r="IE197" s="509"/>
      <c r="IF197" s="509"/>
      <c r="IG197" s="509"/>
      <c r="IH197" s="509"/>
      <c r="II197" s="509"/>
      <c r="IJ197" s="509"/>
      <c r="IK197" s="511"/>
      <c r="IL197" s="509"/>
      <c r="IM197" s="509"/>
      <c r="IN197" s="509"/>
      <c r="IO197" s="509"/>
      <c r="IP197" s="509"/>
      <c r="IQ197" s="509"/>
      <c r="IR197" s="509"/>
      <c r="IS197" s="509"/>
      <c r="IT197" s="509"/>
      <c r="IU197" s="509"/>
      <c r="IV197" s="509"/>
      <c r="IW197" s="509"/>
      <c r="IX197" s="509"/>
      <c r="IY197" s="509"/>
      <c r="IZ197" s="509"/>
      <c r="JA197" s="511"/>
      <c r="JB197" s="511"/>
      <c r="JC197" s="509"/>
      <c r="JD197" s="509"/>
      <c r="JE197" s="509"/>
      <c r="JF197" s="509"/>
      <c r="JG197" s="509"/>
      <c r="JH197" s="509"/>
      <c r="JI197" s="509"/>
      <c r="JJ197" s="509"/>
      <c r="JK197" s="509"/>
      <c r="JL197" s="509"/>
      <c r="JM197" s="509"/>
      <c r="JN197" s="509"/>
      <c r="JO197" s="509"/>
      <c r="JP197" s="509"/>
      <c r="JQ197" s="509"/>
      <c r="JR197" s="100"/>
      <c r="JS197" s="100"/>
      <c r="JT197" s="509"/>
      <c r="JU197" s="509"/>
      <c r="JV197" s="509"/>
      <c r="JW197" s="509"/>
      <c r="JX197" s="509"/>
      <c r="JY197" s="509"/>
      <c r="JZ197" s="509"/>
      <c r="KA197" s="509"/>
      <c r="KB197" s="509"/>
      <c r="KC197" s="509"/>
      <c r="KD197" s="509"/>
      <c r="KE197" s="509"/>
      <c r="KF197" s="509"/>
      <c r="KG197" s="509"/>
      <c r="KH197" s="509"/>
      <c r="KI197" s="509"/>
      <c r="KJ197" s="509"/>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9"/>
      <c r="EY198" s="509"/>
      <c r="EZ198" s="509"/>
      <c r="FA198" s="509"/>
      <c r="FB198" s="509"/>
      <c r="FC198" s="509"/>
      <c r="FD198" s="509"/>
      <c r="FE198" s="509"/>
      <c r="FF198" s="509"/>
      <c r="FG198" s="509"/>
      <c r="FH198" s="509"/>
      <c r="FI198" s="509"/>
      <c r="FJ198" s="509"/>
      <c r="FK198" s="509"/>
      <c r="FL198" s="509"/>
      <c r="FM198" s="509"/>
      <c r="FN198" s="509"/>
      <c r="FO198" s="509"/>
      <c r="FP198" s="509"/>
      <c r="FQ198" s="509"/>
      <c r="FR198" s="509"/>
      <c r="FS198" s="509"/>
      <c r="FT198" s="509"/>
      <c r="FU198" s="509"/>
      <c r="FV198" s="509"/>
      <c r="FW198" s="509"/>
      <c r="FX198" s="509"/>
      <c r="FY198" s="509"/>
      <c r="FZ198" s="509"/>
      <c r="GA198" s="509"/>
      <c r="GB198" s="509"/>
      <c r="GC198" s="509"/>
      <c r="GD198" s="509"/>
      <c r="GE198" s="509"/>
      <c r="GF198" s="509"/>
      <c r="GG198" s="509"/>
      <c r="GH198" s="509"/>
      <c r="GI198" s="509"/>
      <c r="GJ198" s="509"/>
      <c r="GK198" s="509"/>
      <c r="GL198" s="509"/>
      <c r="GM198" s="509"/>
      <c r="GN198" s="509"/>
      <c r="GO198" s="509"/>
      <c r="GP198" s="509"/>
      <c r="GQ198" s="509"/>
      <c r="GR198" s="509"/>
      <c r="GS198" s="509"/>
      <c r="GT198" s="510"/>
      <c r="GU198" s="509"/>
      <c r="GV198" s="509"/>
      <c r="GW198" s="509"/>
      <c r="GX198" s="509"/>
      <c r="GY198" s="510"/>
      <c r="GZ198" s="510"/>
      <c r="HA198" s="510"/>
      <c r="HB198" s="510"/>
      <c r="HC198" s="510"/>
      <c r="HD198" s="510"/>
      <c r="HE198" s="510"/>
      <c r="HF198" s="510"/>
      <c r="HG198" s="510"/>
      <c r="HH198" s="510"/>
      <c r="HI198" s="510"/>
      <c r="HJ198" s="510"/>
      <c r="HK198" s="510"/>
      <c r="HL198" s="510"/>
      <c r="HM198" s="510"/>
      <c r="HN198" s="510"/>
      <c r="HO198" s="510"/>
      <c r="HP198" s="510"/>
      <c r="HQ198" s="510"/>
      <c r="HR198" s="510"/>
      <c r="HS198" s="510"/>
      <c r="HT198" s="510"/>
      <c r="HU198" s="510"/>
      <c r="HV198" s="510"/>
      <c r="HW198" s="510"/>
      <c r="HX198" s="510"/>
      <c r="HY198" s="510"/>
      <c r="HZ198" s="510"/>
      <c r="IA198" s="510"/>
      <c r="IB198" s="510"/>
      <c r="IC198" s="510"/>
      <c r="ID198" s="510"/>
      <c r="IE198" s="509"/>
      <c r="IF198" s="509"/>
      <c r="IG198" s="509"/>
      <c r="IH198" s="509"/>
      <c r="II198" s="509"/>
      <c r="IJ198" s="509"/>
      <c r="IK198" s="511"/>
      <c r="IL198" s="509"/>
      <c r="IM198" s="509"/>
      <c r="IN198" s="509"/>
      <c r="IO198" s="509"/>
      <c r="IP198" s="509"/>
      <c r="IQ198" s="509"/>
      <c r="IR198" s="509"/>
      <c r="IS198" s="509"/>
      <c r="IT198" s="509"/>
      <c r="IU198" s="509"/>
      <c r="IV198" s="509"/>
      <c r="IW198" s="509"/>
      <c r="IX198" s="509"/>
      <c r="IY198" s="509"/>
      <c r="IZ198" s="509"/>
      <c r="JA198" s="511"/>
      <c r="JB198" s="511"/>
      <c r="JC198" s="509"/>
      <c r="JD198" s="509"/>
      <c r="JE198" s="509"/>
      <c r="JF198" s="509"/>
      <c r="JG198" s="509"/>
      <c r="JH198" s="509"/>
      <c r="JI198" s="509"/>
      <c r="JJ198" s="509"/>
      <c r="JK198" s="509"/>
      <c r="JL198" s="509"/>
      <c r="JM198" s="509"/>
      <c r="JN198" s="509"/>
      <c r="JO198" s="509"/>
      <c r="JP198" s="509"/>
      <c r="JQ198" s="509"/>
      <c r="JR198" s="100"/>
      <c r="JS198" s="100"/>
      <c r="JT198" s="509"/>
      <c r="JU198" s="509"/>
      <c r="JV198" s="509"/>
      <c r="JW198" s="509"/>
      <c r="JX198" s="509"/>
      <c r="JY198" s="509"/>
      <c r="JZ198" s="509"/>
      <c r="KA198" s="509"/>
      <c r="KB198" s="509"/>
      <c r="KC198" s="509"/>
      <c r="KD198" s="509"/>
      <c r="KE198" s="509"/>
      <c r="KF198" s="509"/>
      <c r="KG198" s="509"/>
      <c r="KH198" s="509"/>
      <c r="KI198" s="509"/>
      <c r="KJ198" s="509"/>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9"/>
      <c r="EY199" s="509"/>
      <c r="EZ199" s="509"/>
      <c r="FA199" s="509"/>
      <c r="FB199" s="509"/>
      <c r="FC199" s="509"/>
      <c r="FD199" s="509"/>
      <c r="FE199" s="509"/>
      <c r="FF199" s="509"/>
      <c r="FG199" s="509"/>
      <c r="FH199" s="509"/>
      <c r="FI199" s="509"/>
      <c r="FJ199" s="509"/>
      <c r="FK199" s="509"/>
      <c r="FL199" s="509"/>
      <c r="FM199" s="509"/>
      <c r="FN199" s="509"/>
      <c r="FO199" s="509"/>
      <c r="FP199" s="509"/>
      <c r="FQ199" s="509"/>
      <c r="FR199" s="509"/>
      <c r="FS199" s="509"/>
      <c r="FT199" s="509"/>
      <c r="FU199" s="509"/>
      <c r="FV199" s="509"/>
      <c r="FW199" s="509"/>
      <c r="FX199" s="509"/>
      <c r="FY199" s="509"/>
      <c r="FZ199" s="509"/>
      <c r="GA199" s="509"/>
      <c r="GB199" s="509"/>
      <c r="GC199" s="509"/>
      <c r="GD199" s="509"/>
      <c r="GE199" s="509"/>
      <c r="GF199" s="509"/>
      <c r="GG199" s="509"/>
      <c r="GH199" s="509"/>
      <c r="GI199" s="509"/>
      <c r="GJ199" s="509"/>
      <c r="GK199" s="509"/>
      <c r="GL199" s="509"/>
      <c r="GM199" s="509"/>
      <c r="GN199" s="509"/>
      <c r="GO199" s="509"/>
      <c r="GP199" s="509"/>
      <c r="GQ199" s="509"/>
      <c r="GR199" s="509"/>
      <c r="GS199" s="509"/>
      <c r="GT199" s="510"/>
      <c r="GU199" s="509"/>
      <c r="GV199" s="509"/>
      <c r="GW199" s="509"/>
      <c r="GX199" s="509"/>
      <c r="GY199" s="510"/>
      <c r="GZ199" s="510"/>
      <c r="HA199" s="510"/>
      <c r="HB199" s="510"/>
      <c r="HC199" s="510"/>
      <c r="HD199" s="510"/>
      <c r="HE199" s="510"/>
      <c r="HF199" s="510"/>
      <c r="HG199" s="510"/>
      <c r="HH199" s="510"/>
      <c r="HI199" s="510"/>
      <c r="HJ199" s="510"/>
      <c r="HK199" s="510"/>
      <c r="HL199" s="510"/>
      <c r="HM199" s="510"/>
      <c r="HN199" s="510"/>
      <c r="HO199" s="510"/>
      <c r="HP199" s="510"/>
      <c r="HQ199" s="510"/>
      <c r="HR199" s="510"/>
      <c r="HS199" s="510"/>
      <c r="HT199" s="510"/>
      <c r="HU199" s="510"/>
      <c r="HV199" s="510"/>
      <c r="HW199" s="510"/>
      <c r="HX199" s="510"/>
      <c r="HY199" s="510"/>
      <c r="HZ199" s="510"/>
      <c r="IA199" s="510"/>
      <c r="IB199" s="510"/>
      <c r="IC199" s="510"/>
      <c r="ID199" s="510"/>
      <c r="IE199" s="509"/>
      <c r="IF199" s="509"/>
      <c r="IG199" s="509"/>
      <c r="IH199" s="509"/>
      <c r="II199" s="509"/>
      <c r="IJ199" s="509"/>
      <c r="IK199" s="511"/>
      <c r="IL199" s="509"/>
      <c r="IM199" s="509"/>
      <c r="IN199" s="509"/>
      <c r="IO199" s="509"/>
      <c r="IP199" s="509"/>
      <c r="IQ199" s="509"/>
      <c r="IR199" s="509"/>
      <c r="IS199" s="509"/>
      <c r="IT199" s="509"/>
      <c r="IU199" s="509"/>
      <c r="IV199" s="509"/>
      <c r="IW199" s="509"/>
      <c r="IX199" s="509"/>
      <c r="IY199" s="509"/>
      <c r="IZ199" s="509"/>
      <c r="JA199" s="511"/>
      <c r="JB199" s="511"/>
      <c r="JC199" s="509"/>
      <c r="JD199" s="509"/>
      <c r="JE199" s="509"/>
      <c r="JF199" s="509"/>
      <c r="JG199" s="509"/>
      <c r="JH199" s="509"/>
      <c r="JI199" s="509"/>
      <c r="JJ199" s="509"/>
      <c r="JK199" s="509"/>
      <c r="JL199" s="509"/>
      <c r="JM199" s="509"/>
      <c r="JN199" s="509"/>
      <c r="JO199" s="509"/>
      <c r="JP199" s="509"/>
      <c r="JQ199" s="509"/>
      <c r="JR199" s="100"/>
      <c r="JS199" s="100"/>
      <c r="JT199" s="509"/>
      <c r="JU199" s="509"/>
      <c r="JV199" s="509"/>
      <c r="JW199" s="509"/>
      <c r="JX199" s="509"/>
      <c r="JY199" s="509"/>
      <c r="JZ199" s="509"/>
      <c r="KA199" s="509"/>
      <c r="KB199" s="509"/>
      <c r="KC199" s="509"/>
      <c r="KD199" s="509"/>
      <c r="KE199" s="509"/>
      <c r="KF199" s="509"/>
      <c r="KG199" s="509"/>
      <c r="KH199" s="509"/>
      <c r="KI199" s="509"/>
      <c r="KJ199" s="509"/>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9"/>
      <c r="EY200" s="509"/>
      <c r="EZ200" s="509"/>
      <c r="FA200" s="509"/>
      <c r="FB200" s="509"/>
      <c r="FC200" s="509"/>
      <c r="FD200" s="509"/>
      <c r="FE200" s="509"/>
      <c r="FF200" s="509"/>
      <c r="FG200" s="509"/>
      <c r="FH200" s="509"/>
      <c r="FI200" s="509"/>
      <c r="FJ200" s="509"/>
      <c r="FK200" s="509"/>
      <c r="FL200" s="509"/>
      <c r="FM200" s="509"/>
      <c r="FN200" s="509"/>
      <c r="FO200" s="509"/>
      <c r="FP200" s="509"/>
      <c r="FQ200" s="509"/>
      <c r="FR200" s="509"/>
      <c r="FS200" s="509"/>
      <c r="FT200" s="509"/>
      <c r="FU200" s="509"/>
      <c r="FV200" s="509"/>
      <c r="FW200" s="509"/>
      <c r="FX200" s="509"/>
      <c r="FY200" s="509"/>
      <c r="FZ200" s="509"/>
      <c r="GA200" s="509"/>
      <c r="GB200" s="509"/>
      <c r="GC200" s="509"/>
      <c r="GD200" s="509"/>
      <c r="GE200" s="509"/>
      <c r="GF200" s="509"/>
      <c r="GG200" s="509"/>
      <c r="GH200" s="509"/>
      <c r="GI200" s="509"/>
      <c r="GJ200" s="509"/>
      <c r="GK200" s="509"/>
      <c r="GL200" s="509"/>
      <c r="GM200" s="509"/>
      <c r="GN200" s="509"/>
      <c r="GO200" s="509"/>
      <c r="GP200" s="509"/>
      <c r="GQ200" s="509"/>
      <c r="GR200" s="509"/>
      <c r="GS200" s="509"/>
      <c r="GT200" s="510"/>
      <c r="GU200" s="509"/>
      <c r="GV200" s="509"/>
      <c r="GW200" s="509"/>
      <c r="GX200" s="509"/>
      <c r="GY200" s="510"/>
      <c r="GZ200" s="510"/>
      <c r="HA200" s="510"/>
      <c r="HB200" s="510"/>
      <c r="HC200" s="510"/>
      <c r="HD200" s="510"/>
      <c r="HE200" s="510"/>
      <c r="HF200" s="510"/>
      <c r="HG200" s="510"/>
      <c r="HH200" s="510"/>
      <c r="HI200" s="510"/>
      <c r="HJ200" s="510"/>
      <c r="HK200" s="510"/>
      <c r="HL200" s="510"/>
      <c r="HM200" s="510"/>
      <c r="HN200" s="510"/>
      <c r="HO200" s="510"/>
      <c r="HP200" s="510"/>
      <c r="HQ200" s="510"/>
      <c r="HR200" s="510"/>
      <c r="HS200" s="510"/>
      <c r="HT200" s="510"/>
      <c r="HU200" s="510"/>
      <c r="HV200" s="510"/>
      <c r="HW200" s="510"/>
      <c r="HX200" s="510"/>
      <c r="HY200" s="510"/>
      <c r="HZ200" s="510"/>
      <c r="IA200" s="510"/>
      <c r="IB200" s="510"/>
      <c r="IC200" s="510"/>
      <c r="ID200" s="510"/>
      <c r="IE200" s="509"/>
      <c r="IF200" s="509"/>
      <c r="IG200" s="509"/>
      <c r="IH200" s="509"/>
      <c r="II200" s="509"/>
      <c r="IJ200" s="509"/>
      <c r="IK200" s="511"/>
      <c r="IL200" s="509"/>
      <c r="IM200" s="509"/>
      <c r="IN200" s="509"/>
      <c r="IO200" s="509"/>
      <c r="IP200" s="509"/>
      <c r="IQ200" s="509"/>
      <c r="IR200" s="509"/>
      <c r="IS200" s="509"/>
      <c r="IT200" s="509"/>
      <c r="IU200" s="509"/>
      <c r="IV200" s="509"/>
      <c r="IW200" s="509"/>
      <c r="IX200" s="509"/>
      <c r="IY200" s="509"/>
      <c r="IZ200" s="509"/>
      <c r="JA200" s="511"/>
      <c r="JB200" s="511"/>
      <c r="JC200" s="509"/>
      <c r="JD200" s="509"/>
      <c r="JE200" s="509"/>
      <c r="JF200" s="509"/>
      <c r="JG200" s="509"/>
      <c r="JH200" s="509"/>
      <c r="JI200" s="509"/>
      <c r="JJ200" s="509"/>
      <c r="JK200" s="509"/>
      <c r="JL200" s="509"/>
      <c r="JM200" s="509"/>
      <c r="JN200" s="509"/>
      <c r="JO200" s="509"/>
      <c r="JP200" s="509"/>
      <c r="JQ200" s="509"/>
      <c r="JR200" s="100"/>
      <c r="JS200" s="100"/>
      <c r="JT200" s="509"/>
      <c r="JU200" s="509"/>
      <c r="JV200" s="509"/>
      <c r="JW200" s="509"/>
      <c r="JX200" s="509"/>
      <c r="JY200" s="509"/>
      <c r="JZ200" s="509"/>
      <c r="KA200" s="509"/>
      <c r="KB200" s="509"/>
      <c r="KC200" s="509"/>
      <c r="KD200" s="509"/>
      <c r="KE200" s="509"/>
      <c r="KF200" s="509"/>
      <c r="KG200" s="509"/>
      <c r="KH200" s="509"/>
      <c r="KI200" s="509"/>
      <c r="KJ200" s="509"/>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9"/>
      <c r="EY201" s="509"/>
      <c r="EZ201" s="509"/>
      <c r="FA201" s="509"/>
      <c r="FB201" s="509"/>
      <c r="FC201" s="509"/>
      <c r="FD201" s="509"/>
      <c r="FE201" s="509"/>
      <c r="FF201" s="509"/>
      <c r="FG201" s="509"/>
      <c r="FH201" s="509"/>
      <c r="FI201" s="509"/>
      <c r="FJ201" s="509"/>
      <c r="FK201" s="509"/>
      <c r="FL201" s="509"/>
      <c r="FM201" s="509"/>
      <c r="FN201" s="509"/>
      <c r="FO201" s="509"/>
      <c r="FP201" s="509"/>
      <c r="FQ201" s="509"/>
      <c r="FR201" s="509"/>
      <c r="FS201" s="509"/>
      <c r="FT201" s="509"/>
      <c r="FU201" s="509"/>
      <c r="FV201" s="509"/>
      <c r="FW201" s="509"/>
      <c r="FX201" s="509"/>
      <c r="FY201" s="509"/>
      <c r="FZ201" s="509"/>
      <c r="GA201" s="509"/>
      <c r="GB201" s="509"/>
      <c r="GC201" s="509"/>
      <c r="GD201" s="509"/>
      <c r="GE201" s="509"/>
      <c r="GF201" s="509"/>
      <c r="GG201" s="509"/>
      <c r="GH201" s="509"/>
      <c r="GI201" s="509"/>
      <c r="GJ201" s="509"/>
      <c r="GK201" s="509"/>
      <c r="GL201" s="509"/>
      <c r="GM201" s="509"/>
      <c r="GN201" s="509"/>
      <c r="GO201" s="509"/>
      <c r="GP201" s="509"/>
      <c r="GQ201" s="509"/>
      <c r="GR201" s="509"/>
      <c r="GS201" s="509"/>
      <c r="GT201" s="510"/>
      <c r="GU201" s="509"/>
      <c r="GV201" s="509"/>
      <c r="GW201" s="509"/>
      <c r="GX201" s="509"/>
      <c r="GY201" s="510"/>
      <c r="GZ201" s="510"/>
      <c r="HA201" s="510"/>
      <c r="HB201" s="510"/>
      <c r="HC201" s="510"/>
      <c r="HD201" s="510"/>
      <c r="HE201" s="510"/>
      <c r="HF201" s="510"/>
      <c r="HG201" s="510"/>
      <c r="HH201" s="510"/>
      <c r="HI201" s="510"/>
      <c r="HJ201" s="510"/>
      <c r="HK201" s="510"/>
      <c r="HL201" s="510"/>
      <c r="HM201" s="510"/>
      <c r="HN201" s="510"/>
      <c r="HO201" s="510"/>
      <c r="HP201" s="510"/>
      <c r="HQ201" s="510"/>
      <c r="HR201" s="510"/>
      <c r="HS201" s="510"/>
      <c r="HT201" s="510"/>
      <c r="HU201" s="510"/>
      <c r="HV201" s="510"/>
      <c r="HW201" s="510"/>
      <c r="HX201" s="510"/>
      <c r="HY201" s="510"/>
      <c r="HZ201" s="510"/>
      <c r="IA201" s="510"/>
      <c r="IB201" s="510"/>
      <c r="IC201" s="510"/>
      <c r="ID201" s="510"/>
      <c r="IE201" s="509"/>
      <c r="IF201" s="509"/>
      <c r="IG201" s="509"/>
      <c r="IH201" s="509"/>
      <c r="II201" s="509"/>
      <c r="IJ201" s="509"/>
      <c r="IK201" s="511"/>
      <c r="IL201" s="509"/>
      <c r="IM201" s="509"/>
      <c r="IN201" s="509"/>
      <c r="IO201" s="509"/>
      <c r="IP201" s="509"/>
      <c r="IQ201" s="509"/>
      <c r="IR201" s="509"/>
      <c r="IS201" s="509"/>
      <c r="IT201" s="509"/>
      <c r="IU201" s="509"/>
      <c r="IV201" s="509"/>
      <c r="IW201" s="509"/>
      <c r="IX201" s="509"/>
      <c r="IY201" s="509"/>
      <c r="IZ201" s="509"/>
      <c r="JA201" s="511"/>
      <c r="JB201" s="511"/>
      <c r="JC201" s="509"/>
      <c r="JD201" s="509"/>
      <c r="JE201" s="509"/>
      <c r="JF201" s="509"/>
      <c r="JG201" s="509"/>
      <c r="JH201" s="509"/>
      <c r="JI201" s="509"/>
      <c r="JJ201" s="509"/>
      <c r="JK201" s="509"/>
      <c r="JL201" s="509"/>
      <c r="JM201" s="509"/>
      <c r="JN201" s="509"/>
      <c r="JO201" s="509"/>
      <c r="JP201" s="509"/>
      <c r="JQ201" s="509"/>
      <c r="JR201" s="100"/>
      <c r="JS201" s="100"/>
      <c r="JT201" s="509"/>
      <c r="JU201" s="509"/>
      <c r="JV201" s="509"/>
      <c r="JW201" s="509"/>
      <c r="JX201" s="509"/>
      <c r="JY201" s="509"/>
      <c r="JZ201" s="509"/>
      <c r="KA201" s="509"/>
      <c r="KB201" s="509"/>
      <c r="KC201" s="509"/>
      <c r="KD201" s="509"/>
      <c r="KE201" s="509"/>
      <c r="KF201" s="509"/>
      <c r="KG201" s="509"/>
      <c r="KH201" s="509"/>
      <c r="KI201" s="509"/>
      <c r="KJ201" s="509"/>
    </row>
    <row r="202" spans="1:296" s="96" customFormat="1" ht="13.9" customHeight="1">
      <c r="A202" s="1809"/>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9"/>
      <c r="EY202" s="509"/>
      <c r="EZ202" s="509"/>
      <c r="FA202" s="509"/>
      <c r="FB202" s="509"/>
      <c r="FC202" s="509"/>
      <c r="FD202" s="509"/>
      <c r="FE202" s="509"/>
      <c r="FF202" s="509"/>
      <c r="FG202" s="509"/>
      <c r="FH202" s="509"/>
      <c r="FI202" s="509"/>
      <c r="FJ202" s="509"/>
      <c r="FK202" s="509"/>
      <c r="FL202" s="509"/>
      <c r="FM202" s="509"/>
      <c r="FN202" s="509"/>
      <c r="FO202" s="509"/>
      <c r="FP202" s="509"/>
      <c r="FQ202" s="509"/>
      <c r="FR202" s="509"/>
      <c r="FS202" s="509"/>
      <c r="FT202" s="509"/>
      <c r="FU202" s="509"/>
      <c r="FV202" s="509"/>
      <c r="FW202" s="509"/>
      <c r="FX202" s="509"/>
      <c r="FY202" s="509"/>
      <c r="FZ202" s="509"/>
      <c r="GA202" s="509"/>
      <c r="GB202" s="509"/>
      <c r="GC202" s="509"/>
      <c r="GD202" s="509"/>
      <c r="GE202" s="509"/>
      <c r="GF202" s="509"/>
      <c r="GG202" s="509"/>
      <c r="GH202" s="509"/>
      <c r="GI202" s="509"/>
      <c r="GJ202" s="509"/>
      <c r="GK202" s="509"/>
      <c r="GL202" s="509"/>
      <c r="GM202" s="509"/>
      <c r="GN202" s="509"/>
      <c r="GO202" s="509"/>
      <c r="GP202" s="509"/>
      <c r="GQ202" s="509"/>
      <c r="GR202" s="509"/>
      <c r="GS202" s="509"/>
      <c r="GT202" s="510"/>
      <c r="GU202" s="509"/>
      <c r="GV202" s="509"/>
      <c r="GW202" s="509"/>
      <c r="GX202" s="509"/>
      <c r="GY202" s="510"/>
      <c r="GZ202" s="510"/>
      <c r="HA202" s="510"/>
      <c r="HB202" s="510"/>
      <c r="HC202" s="510"/>
      <c r="HD202" s="510"/>
      <c r="HE202" s="510"/>
      <c r="HF202" s="510"/>
      <c r="HG202" s="510"/>
      <c r="HH202" s="510"/>
      <c r="HI202" s="510"/>
      <c r="HJ202" s="510"/>
      <c r="HK202" s="510"/>
      <c r="HL202" s="510"/>
      <c r="HM202" s="510"/>
      <c r="HN202" s="510"/>
      <c r="HO202" s="510"/>
      <c r="HP202" s="510"/>
      <c r="HQ202" s="510"/>
      <c r="HR202" s="510"/>
      <c r="HS202" s="510"/>
      <c r="HT202" s="510"/>
      <c r="HU202" s="510"/>
      <c r="HV202" s="510"/>
      <c r="HW202" s="510"/>
      <c r="HX202" s="510"/>
      <c r="HY202" s="510"/>
      <c r="HZ202" s="510"/>
      <c r="IA202" s="510"/>
      <c r="IB202" s="510"/>
      <c r="IC202" s="510"/>
      <c r="ID202" s="510"/>
      <c r="IE202" s="509"/>
      <c r="IF202" s="509"/>
      <c r="IG202" s="509"/>
      <c r="IH202" s="509"/>
      <c r="II202" s="509"/>
      <c r="IJ202" s="509"/>
      <c r="IK202" s="511"/>
      <c r="IL202" s="509"/>
      <c r="IM202" s="509"/>
      <c r="IN202" s="509"/>
      <c r="IO202" s="509"/>
      <c r="IP202" s="509"/>
      <c r="IQ202" s="509"/>
      <c r="IR202" s="509"/>
      <c r="IS202" s="509"/>
      <c r="IT202" s="509"/>
      <c r="IU202" s="509"/>
      <c r="IV202" s="509"/>
      <c r="IW202" s="509"/>
      <c r="IX202" s="509"/>
      <c r="IY202" s="509"/>
      <c r="IZ202" s="509"/>
      <c r="JA202" s="511"/>
      <c r="JB202" s="511"/>
      <c r="JC202" s="509"/>
      <c r="JD202" s="509"/>
      <c r="JE202" s="509"/>
      <c r="JF202" s="509"/>
      <c r="JG202" s="509"/>
      <c r="JH202" s="509"/>
      <c r="JI202" s="509"/>
      <c r="JJ202" s="509"/>
      <c r="JK202" s="509"/>
      <c r="JL202" s="509"/>
      <c r="JM202" s="509"/>
      <c r="JN202" s="509"/>
      <c r="JO202" s="509"/>
      <c r="JP202" s="509"/>
      <c r="JQ202" s="509"/>
      <c r="JR202" s="100"/>
      <c r="JS202" s="100"/>
      <c r="JT202" s="509"/>
      <c r="JU202" s="509"/>
      <c r="JV202" s="509"/>
      <c r="JW202" s="509"/>
      <c r="JX202" s="509"/>
      <c r="JY202" s="509"/>
      <c r="JZ202" s="509"/>
      <c r="KA202" s="509"/>
      <c r="KB202" s="509"/>
      <c r="KC202" s="509"/>
      <c r="KD202" s="509"/>
      <c r="KE202" s="509"/>
      <c r="KF202" s="509"/>
      <c r="KG202" s="509"/>
      <c r="KH202" s="509"/>
      <c r="KI202" s="509"/>
      <c r="KJ202" s="509"/>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9"/>
      <c r="EY203" s="509"/>
      <c r="EZ203" s="509"/>
      <c r="FA203" s="509"/>
      <c r="FB203" s="509"/>
      <c r="FC203" s="509"/>
      <c r="FD203" s="509"/>
      <c r="FE203" s="509"/>
      <c r="FF203" s="509"/>
      <c r="FG203" s="509"/>
      <c r="FH203" s="509"/>
      <c r="FI203" s="509"/>
      <c r="FJ203" s="509"/>
      <c r="FK203" s="509"/>
      <c r="FL203" s="509"/>
      <c r="FM203" s="509"/>
      <c r="FN203" s="509"/>
      <c r="FO203" s="509"/>
      <c r="FP203" s="509"/>
      <c r="FQ203" s="509"/>
      <c r="FR203" s="509"/>
      <c r="FS203" s="509"/>
      <c r="FT203" s="509"/>
      <c r="FU203" s="509"/>
      <c r="FV203" s="509"/>
      <c r="FW203" s="509"/>
      <c r="FX203" s="509"/>
      <c r="FY203" s="509"/>
      <c r="FZ203" s="509"/>
      <c r="GA203" s="509"/>
      <c r="GB203" s="509"/>
      <c r="GC203" s="509"/>
      <c r="GD203" s="509"/>
      <c r="GE203" s="509"/>
      <c r="GF203" s="509"/>
      <c r="GG203" s="509"/>
      <c r="GH203" s="509"/>
      <c r="GI203" s="509"/>
      <c r="GJ203" s="509"/>
      <c r="GK203" s="509"/>
      <c r="GL203" s="509"/>
      <c r="GM203" s="509"/>
      <c r="GN203" s="509"/>
      <c r="GO203" s="509"/>
      <c r="GP203" s="509"/>
      <c r="GQ203" s="509"/>
      <c r="GR203" s="509"/>
      <c r="GS203" s="509"/>
      <c r="GT203" s="510"/>
      <c r="GU203" s="509"/>
      <c r="GV203" s="509"/>
      <c r="GW203" s="509"/>
      <c r="GX203" s="509"/>
      <c r="GY203" s="510"/>
      <c r="GZ203" s="510"/>
      <c r="HA203" s="510"/>
      <c r="HB203" s="510"/>
      <c r="HC203" s="510"/>
      <c r="HD203" s="510"/>
      <c r="HE203" s="510"/>
      <c r="HF203" s="510"/>
      <c r="HG203" s="510"/>
      <c r="HH203" s="510"/>
      <c r="HI203" s="510"/>
      <c r="HJ203" s="510"/>
      <c r="HK203" s="510"/>
      <c r="HL203" s="510"/>
      <c r="HM203" s="510"/>
      <c r="HN203" s="510"/>
      <c r="HO203" s="510"/>
      <c r="HP203" s="510"/>
      <c r="HQ203" s="510"/>
      <c r="HR203" s="510"/>
      <c r="HS203" s="510"/>
      <c r="HT203" s="510"/>
      <c r="HU203" s="510"/>
      <c r="HV203" s="510"/>
      <c r="HW203" s="510"/>
      <c r="HX203" s="510"/>
      <c r="HY203" s="510"/>
      <c r="HZ203" s="510"/>
      <c r="IA203" s="510"/>
      <c r="IB203" s="510"/>
      <c r="IC203" s="510"/>
      <c r="ID203" s="510"/>
      <c r="IE203" s="509"/>
      <c r="IF203" s="509"/>
      <c r="IG203" s="509"/>
      <c r="IH203" s="509"/>
      <c r="II203" s="509"/>
      <c r="IJ203" s="509"/>
      <c r="IK203" s="511"/>
      <c r="IL203" s="509"/>
      <c r="IM203" s="509"/>
      <c r="IN203" s="509"/>
      <c r="IO203" s="509"/>
      <c r="IP203" s="509"/>
      <c r="IQ203" s="509"/>
      <c r="IR203" s="509"/>
      <c r="IS203" s="509"/>
      <c r="IT203" s="509"/>
      <c r="IU203" s="509"/>
      <c r="IV203" s="509"/>
      <c r="IW203" s="509"/>
      <c r="IX203" s="509"/>
      <c r="IY203" s="509"/>
      <c r="IZ203" s="509"/>
      <c r="JA203" s="511"/>
      <c r="JB203" s="511"/>
      <c r="JC203" s="509"/>
      <c r="JD203" s="509"/>
      <c r="JE203" s="509"/>
      <c r="JF203" s="509"/>
      <c r="JG203" s="509"/>
      <c r="JH203" s="509"/>
      <c r="JI203" s="509"/>
      <c r="JJ203" s="509"/>
      <c r="JK203" s="509"/>
      <c r="JL203" s="509"/>
      <c r="JM203" s="509"/>
      <c r="JN203" s="509"/>
      <c r="JO203" s="509"/>
      <c r="JP203" s="509"/>
      <c r="JQ203" s="509"/>
      <c r="JR203" s="100"/>
      <c r="JS203" s="100"/>
      <c r="JT203" s="509"/>
      <c r="JU203" s="509"/>
      <c r="JV203" s="509"/>
      <c r="JW203" s="509"/>
      <c r="JX203" s="509"/>
      <c r="JY203" s="509"/>
      <c r="JZ203" s="509"/>
      <c r="KA203" s="509"/>
      <c r="KB203" s="509"/>
      <c r="KC203" s="509"/>
      <c r="KD203" s="509"/>
      <c r="KE203" s="509"/>
      <c r="KF203" s="509"/>
      <c r="KG203" s="509"/>
      <c r="KH203" s="509"/>
      <c r="KI203" s="509"/>
      <c r="KJ203" s="509"/>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9"/>
      <c r="EY208" s="509"/>
      <c r="EZ208" s="509"/>
      <c r="FA208" s="509"/>
      <c r="FB208" s="509"/>
      <c r="FC208" s="509"/>
      <c r="FD208" s="509"/>
      <c r="FE208" s="509"/>
      <c r="FF208" s="509"/>
      <c r="FG208" s="509"/>
      <c r="FH208" s="509"/>
      <c r="FI208" s="509"/>
      <c r="FJ208" s="509"/>
      <c r="FK208" s="509"/>
      <c r="FL208" s="509"/>
      <c r="FM208" s="509"/>
      <c r="FN208" s="509"/>
      <c r="FO208" s="509"/>
      <c r="FP208" s="509"/>
      <c r="FQ208" s="509"/>
      <c r="FR208" s="509"/>
      <c r="FS208" s="509"/>
      <c r="FT208" s="509"/>
      <c r="FU208" s="509"/>
      <c r="FV208" s="509"/>
      <c r="FW208" s="509"/>
      <c r="FX208" s="509"/>
      <c r="FY208" s="509"/>
      <c r="FZ208" s="509"/>
      <c r="GA208" s="509"/>
      <c r="GB208" s="509"/>
      <c r="GC208" s="509"/>
      <c r="GD208" s="509"/>
      <c r="GE208" s="509"/>
      <c r="GF208" s="509"/>
      <c r="GG208" s="509"/>
      <c r="GH208" s="509"/>
      <c r="GI208" s="509"/>
      <c r="GJ208" s="509"/>
      <c r="GK208" s="509"/>
      <c r="GL208" s="509"/>
      <c r="GM208" s="509"/>
      <c r="GN208" s="509"/>
      <c r="GO208" s="509"/>
      <c r="GP208" s="509"/>
      <c r="GQ208" s="509"/>
      <c r="GR208" s="509"/>
      <c r="GS208" s="509"/>
      <c r="GT208" s="510"/>
      <c r="GU208" s="509"/>
      <c r="GV208" s="509"/>
      <c r="GW208" s="509"/>
      <c r="GX208" s="509"/>
      <c r="GY208" s="510"/>
      <c r="GZ208" s="510"/>
      <c r="HA208" s="510"/>
      <c r="HB208" s="510"/>
      <c r="HC208" s="510"/>
      <c r="HD208" s="510"/>
      <c r="HE208" s="510"/>
      <c r="HF208" s="510"/>
      <c r="HG208" s="510"/>
      <c r="HH208" s="510"/>
      <c r="HI208" s="510"/>
      <c r="HJ208" s="510"/>
      <c r="HK208" s="510"/>
      <c r="HL208" s="510"/>
      <c r="HM208" s="510"/>
      <c r="HN208" s="510"/>
      <c r="HO208" s="510"/>
      <c r="HP208" s="510"/>
      <c r="HQ208" s="510"/>
      <c r="HR208" s="510"/>
      <c r="HS208" s="510"/>
      <c r="HT208" s="510"/>
      <c r="HU208" s="510"/>
      <c r="HV208" s="510"/>
      <c r="HW208" s="510"/>
      <c r="HX208" s="510"/>
      <c r="HY208" s="510"/>
      <c r="HZ208" s="510"/>
      <c r="IA208" s="510"/>
      <c r="IB208" s="510"/>
      <c r="IC208" s="510"/>
      <c r="ID208" s="510"/>
      <c r="IE208" s="509"/>
      <c r="IF208" s="509"/>
      <c r="IG208" s="509"/>
      <c r="IH208" s="509"/>
      <c r="II208" s="509"/>
      <c r="IJ208" s="509"/>
      <c r="IK208" s="511"/>
      <c r="IL208" s="509"/>
      <c r="IM208" s="509"/>
      <c r="IN208" s="509"/>
      <c r="IO208" s="509"/>
      <c r="IP208" s="509"/>
      <c r="IQ208" s="509"/>
      <c r="IR208" s="509"/>
      <c r="IS208" s="509"/>
      <c r="IT208" s="509"/>
      <c r="IU208" s="509"/>
      <c r="IV208" s="509"/>
      <c r="IW208" s="509"/>
      <c r="IX208" s="509"/>
      <c r="IY208" s="509"/>
      <c r="IZ208" s="509"/>
      <c r="JA208" s="511"/>
      <c r="JB208" s="511"/>
      <c r="JC208" s="509"/>
      <c r="JD208" s="509"/>
      <c r="JE208" s="509"/>
      <c r="JF208" s="509"/>
      <c r="JG208" s="509"/>
      <c r="JH208" s="509"/>
      <c r="JI208" s="509"/>
      <c r="JJ208" s="509"/>
      <c r="JK208" s="509"/>
      <c r="JL208" s="509"/>
      <c r="JM208" s="509"/>
      <c r="JN208" s="509"/>
      <c r="JO208" s="509"/>
      <c r="JP208" s="509"/>
      <c r="JQ208" s="509"/>
      <c r="JR208" s="100"/>
      <c r="JS208" s="100"/>
      <c r="JT208" s="509"/>
      <c r="JU208" s="509"/>
      <c r="JV208" s="509"/>
      <c r="JW208" s="509"/>
      <c r="JX208" s="509"/>
      <c r="JY208" s="509"/>
      <c r="JZ208" s="509"/>
      <c r="KA208" s="509"/>
      <c r="KB208" s="509"/>
      <c r="KC208" s="509"/>
      <c r="KD208" s="509"/>
      <c r="KE208" s="509"/>
      <c r="KF208" s="509"/>
      <c r="KG208" s="509"/>
      <c r="KH208" s="509"/>
      <c r="KI208" s="509"/>
      <c r="KJ208" s="509"/>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9"/>
      <c r="EY209" s="509"/>
      <c r="EZ209" s="509"/>
      <c r="FA209" s="509"/>
      <c r="FB209" s="509"/>
      <c r="FC209" s="509"/>
      <c r="FD209" s="509"/>
      <c r="FE209" s="509"/>
      <c r="FF209" s="509"/>
      <c r="FG209" s="509"/>
      <c r="FH209" s="509"/>
      <c r="FI209" s="509"/>
      <c r="FJ209" s="509"/>
      <c r="FK209" s="509"/>
      <c r="FL209" s="509"/>
      <c r="FM209" s="509"/>
      <c r="FN209" s="509"/>
      <c r="FO209" s="509"/>
      <c r="FP209" s="509"/>
      <c r="FQ209" s="509"/>
      <c r="FR209" s="509"/>
      <c r="FS209" s="509"/>
      <c r="FT209" s="509"/>
      <c r="FU209" s="509"/>
      <c r="FV209" s="509"/>
      <c r="FW209" s="509"/>
      <c r="FX209" s="509"/>
      <c r="FY209" s="509"/>
      <c r="FZ209" s="509"/>
      <c r="GA209" s="509"/>
      <c r="GB209" s="509"/>
      <c r="GC209" s="509"/>
      <c r="GD209" s="509"/>
      <c r="GE209" s="509"/>
      <c r="GF209" s="509"/>
      <c r="GG209" s="509"/>
      <c r="GH209" s="509"/>
      <c r="GI209" s="509"/>
      <c r="GJ209" s="509"/>
      <c r="GK209" s="509"/>
      <c r="GL209" s="509"/>
      <c r="GM209" s="509"/>
      <c r="GN209" s="509"/>
      <c r="GO209" s="509"/>
      <c r="GP209" s="509"/>
      <c r="GQ209" s="509"/>
      <c r="GR209" s="509"/>
      <c r="GS209" s="509"/>
      <c r="GT209" s="510"/>
      <c r="GU209" s="509"/>
      <c r="GV209" s="509"/>
      <c r="GW209" s="509"/>
      <c r="GX209" s="509"/>
      <c r="GY209" s="510"/>
      <c r="GZ209" s="510"/>
      <c r="HA209" s="510"/>
      <c r="HB209" s="510"/>
      <c r="HC209" s="510"/>
      <c r="HD209" s="510"/>
      <c r="HE209" s="510"/>
      <c r="HF209" s="510"/>
      <c r="HG209" s="510"/>
      <c r="HH209" s="510"/>
      <c r="HI209" s="510"/>
      <c r="HJ209" s="510"/>
      <c r="HK209" s="510"/>
      <c r="HL209" s="510"/>
      <c r="HM209" s="510"/>
      <c r="HN209" s="510"/>
      <c r="HO209" s="510"/>
      <c r="HP209" s="510"/>
      <c r="HQ209" s="510"/>
      <c r="HR209" s="510"/>
      <c r="HS209" s="510"/>
      <c r="HT209" s="510"/>
      <c r="HU209" s="510"/>
      <c r="HV209" s="510"/>
      <c r="HW209" s="510"/>
      <c r="HX209" s="510"/>
      <c r="HY209" s="510"/>
      <c r="HZ209" s="510"/>
      <c r="IA209" s="510"/>
      <c r="IB209" s="510"/>
      <c r="IC209" s="510"/>
      <c r="ID209" s="510"/>
      <c r="IE209" s="509"/>
      <c r="IF209" s="509"/>
      <c r="IG209" s="509"/>
      <c r="IH209" s="509"/>
      <c r="II209" s="509"/>
      <c r="IJ209" s="509"/>
      <c r="IK209" s="511"/>
      <c r="IL209" s="509"/>
      <c r="IM209" s="509"/>
      <c r="IN209" s="509"/>
      <c r="IO209" s="509"/>
      <c r="IP209" s="509"/>
      <c r="IQ209" s="509"/>
      <c r="IR209" s="509"/>
      <c r="IS209" s="509"/>
      <c r="IT209" s="509"/>
      <c r="IU209" s="509"/>
      <c r="IV209" s="509"/>
      <c r="IW209" s="509"/>
      <c r="IX209" s="509"/>
      <c r="IY209" s="509"/>
      <c r="IZ209" s="509"/>
      <c r="JA209" s="511"/>
      <c r="JB209" s="511"/>
      <c r="JC209" s="509"/>
      <c r="JD209" s="509"/>
      <c r="JE209" s="509"/>
      <c r="JF209" s="509"/>
      <c r="JG209" s="509"/>
      <c r="JH209" s="509"/>
      <c r="JI209" s="509"/>
      <c r="JJ209" s="509"/>
      <c r="JK209" s="509"/>
      <c r="JL209" s="509"/>
      <c r="JM209" s="509"/>
      <c r="JN209" s="509"/>
      <c r="JO209" s="509"/>
      <c r="JP209" s="509"/>
      <c r="JQ209" s="509"/>
      <c r="JR209" s="100"/>
      <c r="JS209" s="100"/>
      <c r="JT209" s="509"/>
      <c r="JU209" s="509"/>
      <c r="JV209" s="509"/>
      <c r="JW209" s="509"/>
      <c r="JX209" s="509"/>
      <c r="JY209" s="509"/>
      <c r="JZ209" s="509"/>
      <c r="KA209" s="509"/>
      <c r="KB209" s="509"/>
      <c r="KC209" s="509"/>
      <c r="KD209" s="509"/>
      <c r="KE209" s="509"/>
      <c r="KF209" s="509"/>
      <c r="KG209" s="509"/>
      <c r="KH209" s="509"/>
      <c r="KI209" s="509"/>
      <c r="KJ209" s="509"/>
    </row>
    <row r="210" spans="1:296" s="96" customFormat="1" ht="13.9" customHeight="1">
      <c r="A210" s="1809"/>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9"/>
      <c r="EY210" s="509"/>
      <c r="EZ210" s="509"/>
      <c r="FA210" s="509"/>
      <c r="FB210" s="509"/>
      <c r="FC210" s="509"/>
      <c r="FD210" s="509"/>
      <c r="FE210" s="509"/>
      <c r="FF210" s="509"/>
      <c r="FG210" s="509"/>
      <c r="FH210" s="509"/>
      <c r="FI210" s="509"/>
      <c r="FJ210" s="509"/>
      <c r="FK210" s="509"/>
      <c r="FL210" s="509"/>
      <c r="FM210" s="509"/>
      <c r="FN210" s="509"/>
      <c r="FO210" s="509"/>
      <c r="FP210" s="509"/>
      <c r="FQ210" s="509"/>
      <c r="FR210" s="509"/>
      <c r="FS210" s="509"/>
      <c r="FT210" s="509"/>
      <c r="FU210" s="509"/>
      <c r="FV210" s="509"/>
      <c r="FW210" s="509"/>
      <c r="FX210" s="509"/>
      <c r="FY210" s="509"/>
      <c r="FZ210" s="509"/>
      <c r="GA210" s="509"/>
      <c r="GB210" s="509"/>
      <c r="GC210" s="509"/>
      <c r="GD210" s="509"/>
      <c r="GE210" s="509"/>
      <c r="GF210" s="509"/>
      <c r="GG210" s="509"/>
      <c r="GH210" s="509"/>
      <c r="GI210" s="509"/>
      <c r="GJ210" s="509"/>
      <c r="GK210" s="509"/>
      <c r="GL210" s="509"/>
      <c r="GM210" s="509"/>
      <c r="GN210" s="509"/>
      <c r="GO210" s="509"/>
      <c r="GP210" s="509"/>
      <c r="GQ210" s="509"/>
      <c r="GR210" s="509"/>
      <c r="GS210" s="509"/>
      <c r="GT210" s="510"/>
      <c r="GU210" s="509"/>
      <c r="GV210" s="509"/>
      <c r="GW210" s="509"/>
      <c r="GX210" s="509"/>
      <c r="GY210" s="510"/>
      <c r="GZ210" s="510"/>
      <c r="HA210" s="510"/>
      <c r="HB210" s="510"/>
      <c r="HC210" s="510"/>
      <c r="HD210" s="510"/>
      <c r="HE210" s="510"/>
      <c r="HF210" s="510"/>
      <c r="HG210" s="510"/>
      <c r="HH210" s="510"/>
      <c r="HI210" s="510"/>
      <c r="HJ210" s="510"/>
      <c r="HK210" s="510"/>
      <c r="HL210" s="510"/>
      <c r="HM210" s="510"/>
      <c r="HN210" s="510"/>
      <c r="HO210" s="510"/>
      <c r="HP210" s="510"/>
      <c r="HQ210" s="510"/>
      <c r="HR210" s="510"/>
      <c r="HS210" s="510"/>
      <c r="HT210" s="510"/>
      <c r="HU210" s="510"/>
      <c r="HV210" s="510"/>
      <c r="HW210" s="510"/>
      <c r="HX210" s="510"/>
      <c r="HY210" s="510"/>
      <c r="HZ210" s="510"/>
      <c r="IA210" s="510"/>
      <c r="IB210" s="510"/>
      <c r="IC210" s="510"/>
      <c r="ID210" s="510"/>
      <c r="IE210" s="509"/>
      <c r="IF210" s="509"/>
      <c r="IG210" s="509"/>
      <c r="IH210" s="509"/>
      <c r="II210" s="509"/>
      <c r="IJ210" s="509"/>
      <c r="IK210" s="511"/>
      <c r="IL210" s="509"/>
      <c r="IM210" s="509"/>
      <c r="IN210" s="509"/>
      <c r="IO210" s="509"/>
      <c r="IP210" s="509"/>
      <c r="IQ210" s="509"/>
      <c r="IR210" s="509"/>
      <c r="IS210" s="509"/>
      <c r="IT210" s="509"/>
      <c r="IU210" s="509"/>
      <c r="IV210" s="509"/>
      <c r="IW210" s="509"/>
      <c r="IX210" s="509"/>
      <c r="IY210" s="509"/>
      <c r="IZ210" s="509"/>
      <c r="JA210" s="511"/>
      <c r="JB210" s="511"/>
      <c r="JC210" s="509"/>
      <c r="JD210" s="509"/>
      <c r="JE210" s="509"/>
      <c r="JF210" s="509"/>
      <c r="JG210" s="509"/>
      <c r="JH210" s="509"/>
      <c r="JI210" s="509"/>
      <c r="JJ210" s="509"/>
      <c r="JK210" s="509"/>
      <c r="JL210" s="509"/>
      <c r="JM210" s="509"/>
      <c r="JN210" s="509"/>
      <c r="JO210" s="509"/>
      <c r="JP210" s="509"/>
      <c r="JQ210" s="509"/>
      <c r="JR210" s="100"/>
      <c r="JS210" s="100"/>
      <c r="JT210" s="509"/>
      <c r="JU210" s="509"/>
      <c r="JV210" s="509"/>
      <c r="JW210" s="509"/>
      <c r="JX210" s="509"/>
      <c r="JY210" s="509"/>
      <c r="JZ210" s="509"/>
      <c r="KA210" s="509"/>
      <c r="KB210" s="509"/>
      <c r="KC210" s="509"/>
      <c r="KD210" s="509"/>
      <c r="KE210" s="509"/>
      <c r="KF210" s="509"/>
      <c r="KG210" s="509"/>
      <c r="KH210" s="509"/>
      <c r="KI210" s="509"/>
      <c r="KJ210" s="509"/>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9"/>
      <c r="EY211" s="509"/>
      <c r="EZ211" s="509"/>
      <c r="FA211" s="509"/>
      <c r="FB211" s="509"/>
      <c r="FC211" s="509"/>
      <c r="FD211" s="509"/>
      <c r="FE211" s="509"/>
      <c r="FF211" s="509"/>
      <c r="FG211" s="509"/>
      <c r="FH211" s="509"/>
      <c r="FI211" s="509"/>
      <c r="FJ211" s="509"/>
      <c r="FK211" s="509"/>
      <c r="FL211" s="509"/>
      <c r="FM211" s="509"/>
      <c r="FN211" s="509"/>
      <c r="FO211" s="509"/>
      <c r="FP211" s="509"/>
      <c r="FQ211" s="509"/>
      <c r="FR211" s="509"/>
      <c r="FS211" s="509"/>
      <c r="FT211" s="509"/>
      <c r="FU211" s="509"/>
      <c r="FV211" s="509"/>
      <c r="FW211" s="509"/>
      <c r="FX211" s="509"/>
      <c r="FY211" s="509"/>
      <c r="FZ211" s="509"/>
      <c r="GA211" s="509"/>
      <c r="GB211" s="509"/>
      <c r="GC211" s="509"/>
      <c r="GD211" s="509"/>
      <c r="GE211" s="509"/>
      <c r="GF211" s="509"/>
      <c r="GG211" s="509"/>
      <c r="GH211" s="509"/>
      <c r="GI211" s="509"/>
      <c r="GJ211" s="509"/>
      <c r="GK211" s="509"/>
      <c r="GL211" s="509"/>
      <c r="GM211" s="509"/>
      <c r="GN211" s="509"/>
      <c r="GO211" s="509"/>
      <c r="GP211" s="509"/>
      <c r="GQ211" s="509"/>
      <c r="GR211" s="509"/>
      <c r="GS211" s="509"/>
      <c r="GT211" s="510"/>
      <c r="GU211" s="509"/>
      <c r="GV211" s="509"/>
      <c r="GW211" s="509"/>
      <c r="GX211" s="509"/>
      <c r="GY211" s="510"/>
      <c r="GZ211" s="510"/>
      <c r="HA211" s="510"/>
      <c r="HB211" s="510"/>
      <c r="HC211" s="510"/>
      <c r="HD211" s="510"/>
      <c r="HE211" s="510"/>
      <c r="HF211" s="510"/>
      <c r="HG211" s="510"/>
      <c r="HH211" s="510"/>
      <c r="HI211" s="510"/>
      <c r="HJ211" s="510"/>
      <c r="HK211" s="510"/>
      <c r="HL211" s="510"/>
      <c r="HM211" s="510"/>
      <c r="HN211" s="510"/>
      <c r="HO211" s="510"/>
      <c r="HP211" s="510"/>
      <c r="HQ211" s="510"/>
      <c r="HR211" s="510"/>
      <c r="HS211" s="510"/>
      <c r="HT211" s="510"/>
      <c r="HU211" s="510"/>
      <c r="HV211" s="510"/>
      <c r="HW211" s="510"/>
      <c r="HX211" s="510"/>
      <c r="HY211" s="510"/>
      <c r="HZ211" s="510"/>
      <c r="IA211" s="510"/>
      <c r="IB211" s="510"/>
      <c r="IC211" s="510"/>
      <c r="ID211" s="510"/>
      <c r="IE211" s="509"/>
      <c r="IF211" s="509"/>
      <c r="IG211" s="509"/>
      <c r="IH211" s="509"/>
      <c r="II211" s="509"/>
      <c r="IJ211" s="509"/>
      <c r="IK211" s="511"/>
      <c r="IL211" s="509"/>
      <c r="IM211" s="509"/>
      <c r="IN211" s="509"/>
      <c r="IO211" s="509"/>
      <c r="IP211" s="509"/>
      <c r="IQ211" s="509"/>
      <c r="IR211" s="509"/>
      <c r="IS211" s="509"/>
      <c r="IT211" s="509"/>
      <c r="IU211" s="509"/>
      <c r="IV211" s="509"/>
      <c r="IW211" s="509"/>
      <c r="IX211" s="509"/>
      <c r="IY211" s="509"/>
      <c r="IZ211" s="509"/>
      <c r="JA211" s="511"/>
      <c r="JB211" s="511"/>
      <c r="JC211" s="509"/>
      <c r="JD211" s="509"/>
      <c r="JE211" s="509"/>
      <c r="JF211" s="509"/>
      <c r="JG211" s="509"/>
      <c r="JH211" s="509"/>
      <c r="JI211" s="509"/>
      <c r="JJ211" s="509"/>
      <c r="JK211" s="509"/>
      <c r="JL211" s="509"/>
      <c r="JM211" s="509"/>
      <c r="JN211" s="509"/>
      <c r="JO211" s="509"/>
      <c r="JP211" s="509"/>
      <c r="JQ211" s="509"/>
      <c r="JR211" s="100"/>
      <c r="JS211" s="100"/>
      <c r="JT211" s="509"/>
      <c r="JU211" s="509"/>
      <c r="JV211" s="509"/>
      <c r="JW211" s="509"/>
      <c r="JX211" s="509"/>
      <c r="JY211" s="509"/>
      <c r="JZ211" s="509"/>
      <c r="KA211" s="509"/>
      <c r="KB211" s="509"/>
      <c r="KC211" s="509"/>
      <c r="KD211" s="509"/>
      <c r="KE211" s="509"/>
      <c r="KF211" s="509"/>
      <c r="KG211" s="509"/>
      <c r="KH211" s="509"/>
      <c r="KI211" s="509"/>
      <c r="KJ211" s="509"/>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9"/>
      <c r="EY212" s="509"/>
      <c r="EZ212" s="509"/>
      <c r="FA212" s="509"/>
      <c r="FB212" s="509"/>
      <c r="FC212" s="509"/>
      <c r="FD212" s="509"/>
      <c r="FE212" s="509"/>
      <c r="FF212" s="509"/>
      <c r="FG212" s="509"/>
      <c r="FH212" s="509"/>
      <c r="FI212" s="509"/>
      <c r="FJ212" s="509"/>
      <c r="FK212" s="509"/>
      <c r="FL212" s="509"/>
      <c r="FM212" s="509"/>
      <c r="FN212" s="509"/>
      <c r="FO212" s="509"/>
      <c r="FP212" s="509"/>
      <c r="FQ212" s="509"/>
      <c r="FR212" s="509"/>
      <c r="FS212" s="509"/>
      <c r="FT212" s="509"/>
      <c r="FU212" s="509"/>
      <c r="FV212" s="509"/>
      <c r="FW212" s="509"/>
      <c r="FX212" s="509"/>
      <c r="FY212" s="509"/>
      <c r="FZ212" s="509"/>
      <c r="GA212" s="509"/>
      <c r="GB212" s="509"/>
      <c r="GC212" s="509"/>
      <c r="GD212" s="509"/>
      <c r="GE212" s="509"/>
      <c r="GF212" s="509"/>
      <c r="GG212" s="509"/>
      <c r="GH212" s="509"/>
      <c r="GI212" s="509"/>
      <c r="GJ212" s="509"/>
      <c r="GK212" s="509"/>
      <c r="GL212" s="509"/>
      <c r="GM212" s="509"/>
      <c r="GN212" s="509"/>
      <c r="GO212" s="509"/>
      <c r="GP212" s="509"/>
      <c r="GQ212" s="509"/>
      <c r="GR212" s="509"/>
      <c r="GS212" s="509"/>
      <c r="GT212" s="510"/>
      <c r="GU212" s="509"/>
      <c r="GV212" s="509"/>
      <c r="GW212" s="509"/>
      <c r="GX212" s="509"/>
      <c r="GY212" s="510"/>
      <c r="GZ212" s="510"/>
      <c r="HA212" s="510"/>
      <c r="HB212" s="510"/>
      <c r="HC212" s="510"/>
      <c r="HD212" s="510"/>
      <c r="HE212" s="510"/>
      <c r="HF212" s="510"/>
      <c r="HG212" s="510"/>
      <c r="HH212" s="510"/>
      <c r="HI212" s="510"/>
      <c r="HJ212" s="510"/>
      <c r="HK212" s="510"/>
      <c r="HL212" s="510"/>
      <c r="HM212" s="510"/>
      <c r="HN212" s="510"/>
      <c r="HO212" s="510"/>
      <c r="HP212" s="510"/>
      <c r="HQ212" s="510"/>
      <c r="HR212" s="510"/>
      <c r="HS212" s="510"/>
      <c r="HT212" s="510"/>
      <c r="HU212" s="510"/>
      <c r="HV212" s="510"/>
      <c r="HW212" s="510"/>
      <c r="HX212" s="510"/>
      <c r="HY212" s="510"/>
      <c r="HZ212" s="510"/>
      <c r="IA212" s="510"/>
      <c r="IB212" s="510"/>
      <c r="IC212" s="510"/>
      <c r="ID212" s="510"/>
      <c r="IE212" s="509"/>
      <c r="IF212" s="509"/>
      <c r="IG212" s="509"/>
      <c r="IH212" s="509"/>
      <c r="II212" s="509"/>
      <c r="IJ212" s="509"/>
      <c r="IK212" s="511"/>
      <c r="IL212" s="509"/>
      <c r="IM212" s="509"/>
      <c r="IN212" s="509"/>
      <c r="IO212" s="509"/>
      <c r="IP212" s="509"/>
      <c r="IQ212" s="509"/>
      <c r="IR212" s="509"/>
      <c r="IS212" s="509"/>
      <c r="IT212" s="509"/>
      <c r="IU212" s="509"/>
      <c r="IV212" s="509"/>
      <c r="IW212" s="509"/>
      <c r="IX212" s="509"/>
      <c r="IY212" s="509"/>
      <c r="IZ212" s="509"/>
      <c r="JA212" s="511"/>
      <c r="JB212" s="511"/>
      <c r="JC212" s="509"/>
      <c r="JD212" s="509"/>
      <c r="JE212" s="509"/>
      <c r="JF212" s="509"/>
      <c r="JG212" s="509"/>
      <c r="JH212" s="509"/>
      <c r="JI212" s="509"/>
      <c r="JJ212" s="509"/>
      <c r="JK212" s="509"/>
      <c r="JL212" s="509"/>
      <c r="JM212" s="509"/>
      <c r="JN212" s="509"/>
      <c r="JO212" s="509"/>
      <c r="JP212" s="509"/>
      <c r="JQ212" s="509"/>
      <c r="JR212" s="100"/>
      <c r="JS212" s="100"/>
      <c r="JT212" s="509"/>
      <c r="JU212" s="509"/>
      <c r="JV212" s="509"/>
      <c r="JW212" s="509"/>
      <c r="JX212" s="509"/>
      <c r="JY212" s="509"/>
      <c r="JZ212" s="509"/>
      <c r="KA212" s="509"/>
      <c r="KB212" s="509"/>
      <c r="KC212" s="509"/>
      <c r="KD212" s="509"/>
      <c r="KE212" s="509"/>
      <c r="KF212" s="509"/>
      <c r="KG212" s="509"/>
      <c r="KH212" s="509"/>
      <c r="KI212" s="509"/>
      <c r="KJ212" s="509"/>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9"/>
      <c r="EY220" s="509"/>
      <c r="EZ220" s="509"/>
      <c r="FA220" s="509"/>
      <c r="FB220" s="509"/>
      <c r="FC220" s="509"/>
      <c r="FD220" s="509"/>
      <c r="FE220" s="509"/>
      <c r="FF220" s="509"/>
      <c r="FG220" s="509"/>
      <c r="FH220" s="509"/>
      <c r="FI220" s="509"/>
      <c r="FJ220" s="509"/>
      <c r="FK220" s="509"/>
      <c r="FL220" s="509"/>
      <c r="FM220" s="509"/>
      <c r="FN220" s="509"/>
      <c r="FO220" s="509"/>
      <c r="FP220" s="509"/>
      <c r="FQ220" s="509"/>
      <c r="FR220" s="509"/>
      <c r="FS220" s="509"/>
      <c r="FT220" s="509"/>
      <c r="FU220" s="509"/>
      <c r="FV220" s="509"/>
      <c r="FW220" s="509"/>
      <c r="FX220" s="509"/>
      <c r="FY220" s="509"/>
      <c r="FZ220" s="509"/>
      <c r="GA220" s="509"/>
      <c r="GB220" s="509"/>
      <c r="GC220" s="509"/>
      <c r="GD220" s="509"/>
      <c r="GE220" s="509"/>
      <c r="GF220" s="509"/>
      <c r="GG220" s="509"/>
      <c r="GH220" s="509"/>
      <c r="GI220" s="509"/>
      <c r="GJ220" s="509"/>
      <c r="GK220" s="509"/>
      <c r="GL220" s="509"/>
      <c r="GM220" s="509"/>
      <c r="GN220" s="509"/>
      <c r="GO220" s="509"/>
      <c r="GP220" s="509"/>
      <c r="GQ220" s="509"/>
      <c r="GR220" s="509"/>
      <c r="GS220" s="509"/>
      <c r="GT220" s="510"/>
      <c r="GU220" s="509"/>
      <c r="GV220" s="509"/>
      <c r="GW220" s="509"/>
      <c r="GX220" s="509"/>
      <c r="GY220" s="510"/>
      <c r="GZ220" s="510"/>
      <c r="HA220" s="510"/>
      <c r="HB220" s="510"/>
      <c r="HC220" s="510"/>
      <c r="HD220" s="510"/>
      <c r="HE220" s="510"/>
      <c r="HF220" s="510"/>
      <c r="HG220" s="510"/>
      <c r="HH220" s="510"/>
      <c r="HI220" s="510"/>
      <c r="HJ220" s="510"/>
      <c r="HK220" s="510"/>
      <c r="HL220" s="510"/>
      <c r="HM220" s="510"/>
      <c r="HN220" s="510"/>
      <c r="HO220" s="510"/>
      <c r="HP220" s="510"/>
      <c r="HQ220" s="510"/>
      <c r="HR220" s="510"/>
      <c r="HS220" s="510"/>
      <c r="HT220" s="510"/>
      <c r="HU220" s="510"/>
      <c r="HV220" s="510"/>
      <c r="HW220" s="510"/>
      <c r="HX220" s="510"/>
      <c r="HY220" s="510"/>
      <c r="HZ220" s="510"/>
      <c r="IA220" s="510"/>
      <c r="IB220" s="510"/>
      <c r="IC220" s="510"/>
      <c r="ID220" s="510"/>
      <c r="IE220" s="509"/>
      <c r="IF220" s="509"/>
      <c r="IG220" s="509"/>
      <c r="IH220" s="509"/>
      <c r="II220" s="509"/>
      <c r="IJ220" s="509"/>
      <c r="IK220" s="511"/>
      <c r="IL220" s="509"/>
      <c r="IM220" s="509"/>
      <c r="IN220" s="509"/>
      <c r="IO220" s="509"/>
      <c r="IP220" s="509"/>
      <c r="IQ220" s="509"/>
      <c r="IR220" s="509"/>
      <c r="IS220" s="509"/>
      <c r="IT220" s="509"/>
      <c r="IU220" s="509"/>
      <c r="IV220" s="509"/>
      <c r="IW220" s="509"/>
      <c r="IX220" s="509"/>
      <c r="IY220" s="509"/>
      <c r="IZ220" s="509"/>
      <c r="JA220" s="511"/>
      <c r="JB220" s="511"/>
      <c r="JC220" s="509"/>
      <c r="JD220" s="509"/>
      <c r="JE220" s="509"/>
      <c r="JF220" s="509"/>
      <c r="JG220" s="509"/>
      <c r="JH220" s="509"/>
      <c r="JI220" s="509"/>
      <c r="JJ220" s="509"/>
      <c r="JK220" s="509"/>
      <c r="JL220" s="509"/>
      <c r="JM220" s="509"/>
      <c r="JN220" s="509"/>
      <c r="JO220" s="509"/>
      <c r="JP220" s="509"/>
      <c r="JQ220" s="509"/>
      <c r="JR220" s="100"/>
      <c r="JS220" s="100"/>
      <c r="JT220" s="509"/>
      <c r="JU220" s="509"/>
      <c r="JV220" s="509"/>
      <c r="JW220" s="509"/>
      <c r="JX220" s="509"/>
      <c r="JY220" s="509"/>
      <c r="JZ220" s="509"/>
      <c r="KA220" s="509"/>
      <c r="KB220" s="509"/>
      <c r="KC220" s="509"/>
      <c r="KD220" s="509"/>
      <c r="KE220" s="509"/>
      <c r="KF220" s="509"/>
      <c r="KG220" s="509"/>
      <c r="KH220" s="509"/>
      <c r="KI220" s="509"/>
      <c r="KJ220" s="509"/>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9"/>
      <c r="EY221" s="509"/>
      <c r="EZ221" s="509"/>
      <c r="FA221" s="509"/>
      <c r="FB221" s="509"/>
      <c r="FC221" s="509"/>
      <c r="FD221" s="509"/>
      <c r="FE221" s="509"/>
      <c r="FF221" s="509"/>
      <c r="FG221" s="509"/>
      <c r="FH221" s="509"/>
      <c r="FI221" s="509"/>
      <c r="FJ221" s="509"/>
      <c r="FK221" s="509"/>
      <c r="FL221" s="509"/>
      <c r="FM221" s="509"/>
      <c r="FN221" s="509"/>
      <c r="FO221" s="509"/>
      <c r="FP221" s="509"/>
      <c r="FQ221" s="509"/>
      <c r="FR221" s="509"/>
      <c r="FS221" s="509"/>
      <c r="FT221" s="509"/>
      <c r="FU221" s="509"/>
      <c r="FV221" s="509"/>
      <c r="FW221" s="509"/>
      <c r="FX221" s="509"/>
      <c r="FY221" s="509"/>
      <c r="FZ221" s="509"/>
      <c r="GA221" s="509"/>
      <c r="GB221" s="509"/>
      <c r="GC221" s="509"/>
      <c r="GD221" s="509"/>
      <c r="GE221" s="509"/>
      <c r="GF221" s="509"/>
      <c r="GG221" s="509"/>
      <c r="GH221" s="509"/>
      <c r="GI221" s="509"/>
      <c r="GJ221" s="509"/>
      <c r="GK221" s="509"/>
      <c r="GL221" s="509"/>
      <c r="GM221" s="509"/>
      <c r="GN221" s="509"/>
      <c r="GO221" s="509"/>
      <c r="GP221" s="509"/>
      <c r="GQ221" s="509"/>
      <c r="GR221" s="509"/>
      <c r="GS221" s="509"/>
      <c r="GT221" s="510"/>
      <c r="GU221" s="509"/>
      <c r="GV221" s="509"/>
      <c r="GW221" s="509"/>
      <c r="GX221" s="509"/>
      <c r="GY221" s="510"/>
      <c r="GZ221" s="510"/>
      <c r="HA221" s="510"/>
      <c r="HB221" s="510"/>
      <c r="HC221" s="510"/>
      <c r="HD221" s="510"/>
      <c r="HE221" s="510"/>
      <c r="HF221" s="510"/>
      <c r="HG221" s="510"/>
      <c r="HH221" s="510"/>
      <c r="HI221" s="510"/>
      <c r="HJ221" s="510"/>
      <c r="HK221" s="510"/>
      <c r="HL221" s="510"/>
      <c r="HM221" s="510"/>
      <c r="HN221" s="510"/>
      <c r="HO221" s="510"/>
      <c r="HP221" s="510"/>
      <c r="HQ221" s="510"/>
      <c r="HR221" s="510"/>
      <c r="HS221" s="510"/>
      <c r="HT221" s="510"/>
      <c r="HU221" s="510"/>
      <c r="HV221" s="510"/>
      <c r="HW221" s="510"/>
      <c r="HX221" s="510"/>
      <c r="HY221" s="510"/>
      <c r="HZ221" s="510"/>
      <c r="IA221" s="510"/>
      <c r="IB221" s="510"/>
      <c r="IC221" s="510"/>
      <c r="ID221" s="510"/>
      <c r="IE221" s="509"/>
      <c r="IF221" s="509"/>
      <c r="IG221" s="509"/>
      <c r="IH221" s="509"/>
      <c r="II221" s="509"/>
      <c r="IJ221" s="509"/>
      <c r="IK221" s="511"/>
      <c r="IL221" s="509"/>
      <c r="IM221" s="509"/>
      <c r="IN221" s="509"/>
      <c r="IO221" s="509"/>
      <c r="IP221" s="509"/>
      <c r="IQ221" s="509"/>
      <c r="IR221" s="509"/>
      <c r="IS221" s="509"/>
      <c r="IT221" s="509"/>
      <c r="IU221" s="509"/>
      <c r="IV221" s="509"/>
      <c r="IW221" s="509"/>
      <c r="IX221" s="509"/>
      <c r="IY221" s="509"/>
      <c r="IZ221" s="509"/>
      <c r="JA221" s="511"/>
      <c r="JB221" s="511"/>
      <c r="JC221" s="509"/>
      <c r="JD221" s="509"/>
      <c r="JE221" s="509"/>
      <c r="JF221" s="509"/>
      <c r="JG221" s="509"/>
      <c r="JH221" s="509"/>
      <c r="JI221" s="509"/>
      <c r="JJ221" s="509"/>
      <c r="JK221" s="509"/>
      <c r="JL221" s="509"/>
      <c r="JM221" s="509"/>
      <c r="JN221" s="509"/>
      <c r="JO221" s="509"/>
      <c r="JP221" s="509"/>
      <c r="JQ221" s="509"/>
      <c r="JR221" s="100"/>
      <c r="JS221" s="100"/>
      <c r="JT221" s="509"/>
      <c r="JU221" s="509"/>
      <c r="JV221" s="509"/>
      <c r="JW221" s="509"/>
      <c r="JX221" s="509"/>
      <c r="JY221" s="509"/>
      <c r="JZ221" s="509"/>
      <c r="KA221" s="509"/>
      <c r="KB221" s="509"/>
      <c r="KC221" s="509"/>
      <c r="KD221" s="509"/>
      <c r="KE221" s="509"/>
      <c r="KF221" s="509"/>
      <c r="KG221" s="509"/>
      <c r="KH221" s="509"/>
      <c r="KI221" s="509"/>
      <c r="KJ221" s="509"/>
    </row>
    <row r="222" spans="1:296" s="96" customFormat="1" ht="13.9" customHeight="1">
      <c r="A222" s="1809"/>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9"/>
      <c r="EY222" s="509"/>
      <c r="EZ222" s="509"/>
      <c r="FA222" s="509"/>
      <c r="FB222" s="509"/>
      <c r="FC222" s="509"/>
      <c r="FD222" s="509"/>
      <c r="FE222" s="509"/>
      <c r="FF222" s="509"/>
      <c r="FG222" s="509"/>
      <c r="FH222" s="509"/>
      <c r="FI222" s="509"/>
      <c r="FJ222" s="509"/>
      <c r="FK222" s="509"/>
      <c r="FL222" s="509"/>
      <c r="FM222" s="509"/>
      <c r="FN222" s="509"/>
      <c r="FO222" s="509"/>
      <c r="FP222" s="509"/>
      <c r="FQ222" s="509"/>
      <c r="FR222" s="509"/>
      <c r="FS222" s="509"/>
      <c r="FT222" s="509"/>
      <c r="FU222" s="509"/>
      <c r="FV222" s="509"/>
      <c r="FW222" s="509"/>
      <c r="FX222" s="509"/>
      <c r="FY222" s="509"/>
      <c r="FZ222" s="509"/>
      <c r="GA222" s="509"/>
      <c r="GB222" s="509"/>
      <c r="GC222" s="509"/>
      <c r="GD222" s="509"/>
      <c r="GE222" s="509"/>
      <c r="GF222" s="509"/>
      <c r="GG222" s="509"/>
      <c r="GH222" s="509"/>
      <c r="GI222" s="509"/>
      <c r="GJ222" s="509"/>
      <c r="GK222" s="509"/>
      <c r="GL222" s="509"/>
      <c r="GM222" s="509"/>
      <c r="GN222" s="509"/>
      <c r="GO222" s="509"/>
      <c r="GP222" s="509"/>
      <c r="GQ222" s="509"/>
      <c r="GR222" s="509"/>
      <c r="GS222" s="509"/>
      <c r="GT222" s="510"/>
      <c r="GU222" s="509"/>
      <c r="GV222" s="509"/>
      <c r="GW222" s="509"/>
      <c r="GX222" s="509"/>
      <c r="GY222" s="510"/>
      <c r="GZ222" s="510"/>
      <c r="HA222" s="510"/>
      <c r="HB222" s="510"/>
      <c r="HC222" s="510"/>
      <c r="HD222" s="510"/>
      <c r="HE222" s="510"/>
      <c r="HF222" s="510"/>
      <c r="HG222" s="510"/>
      <c r="HH222" s="510"/>
      <c r="HI222" s="510"/>
      <c r="HJ222" s="510"/>
      <c r="HK222" s="510"/>
      <c r="HL222" s="510"/>
      <c r="HM222" s="510"/>
      <c r="HN222" s="510"/>
      <c r="HO222" s="510"/>
      <c r="HP222" s="510"/>
      <c r="HQ222" s="510"/>
      <c r="HR222" s="510"/>
      <c r="HS222" s="510"/>
      <c r="HT222" s="510"/>
      <c r="HU222" s="510"/>
      <c r="HV222" s="510"/>
      <c r="HW222" s="510"/>
      <c r="HX222" s="510"/>
      <c r="HY222" s="510"/>
      <c r="HZ222" s="510"/>
      <c r="IA222" s="510"/>
      <c r="IB222" s="510"/>
      <c r="IC222" s="510"/>
      <c r="ID222" s="510"/>
      <c r="IE222" s="509"/>
      <c r="IF222" s="509"/>
      <c r="IG222" s="509"/>
      <c r="IH222" s="509"/>
      <c r="II222" s="509"/>
      <c r="IJ222" s="509"/>
      <c r="IK222" s="511"/>
      <c r="IL222" s="509"/>
      <c r="IM222" s="509"/>
      <c r="IN222" s="509"/>
      <c r="IO222" s="509"/>
      <c r="IP222" s="509"/>
      <c r="IQ222" s="509"/>
      <c r="IR222" s="509"/>
      <c r="IS222" s="509"/>
      <c r="IT222" s="509"/>
      <c r="IU222" s="509"/>
      <c r="IV222" s="509"/>
      <c r="IW222" s="509"/>
      <c r="IX222" s="509"/>
      <c r="IY222" s="509"/>
      <c r="IZ222" s="509"/>
      <c r="JA222" s="511"/>
      <c r="JB222" s="511"/>
      <c r="JC222" s="509"/>
      <c r="JD222" s="509"/>
      <c r="JE222" s="509"/>
      <c r="JF222" s="509"/>
      <c r="JG222" s="509"/>
      <c r="JH222" s="509"/>
      <c r="JI222" s="509"/>
      <c r="JJ222" s="509"/>
      <c r="JK222" s="509"/>
      <c r="JL222" s="509"/>
      <c r="JM222" s="509"/>
      <c r="JN222" s="509"/>
      <c r="JO222" s="509"/>
      <c r="JP222" s="509"/>
      <c r="JQ222" s="509"/>
      <c r="JR222" s="100"/>
      <c r="JS222" s="100"/>
      <c r="JT222" s="509"/>
      <c r="JU222" s="509"/>
      <c r="JV222" s="509"/>
      <c r="JW222" s="509"/>
      <c r="JX222" s="509"/>
      <c r="JY222" s="509"/>
      <c r="JZ222" s="509"/>
      <c r="KA222" s="509"/>
      <c r="KB222" s="509"/>
      <c r="KC222" s="509"/>
      <c r="KD222" s="509"/>
      <c r="KE222" s="509"/>
      <c r="KF222" s="509"/>
      <c r="KG222" s="509"/>
      <c r="KH222" s="509"/>
      <c r="KI222" s="509"/>
      <c r="KJ222" s="509"/>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9"/>
      <c r="EY223" s="509"/>
      <c r="EZ223" s="509"/>
      <c r="FA223" s="509"/>
      <c r="FB223" s="509"/>
      <c r="FC223" s="509"/>
      <c r="FD223" s="509"/>
      <c r="FE223" s="509"/>
      <c r="FF223" s="509"/>
      <c r="FG223" s="509"/>
      <c r="FH223" s="509"/>
      <c r="FI223" s="509"/>
      <c r="FJ223" s="509"/>
      <c r="FK223" s="509"/>
      <c r="FL223" s="509"/>
      <c r="FM223" s="509"/>
      <c r="FN223" s="509"/>
      <c r="FO223" s="509"/>
      <c r="FP223" s="509"/>
      <c r="FQ223" s="509"/>
      <c r="FR223" s="509"/>
      <c r="FS223" s="509"/>
      <c r="FT223" s="509"/>
      <c r="FU223" s="509"/>
      <c r="FV223" s="509"/>
      <c r="FW223" s="509"/>
      <c r="FX223" s="509"/>
      <c r="FY223" s="509"/>
      <c r="FZ223" s="509"/>
      <c r="GA223" s="509"/>
      <c r="GB223" s="509"/>
      <c r="GC223" s="509"/>
      <c r="GD223" s="509"/>
      <c r="GE223" s="509"/>
      <c r="GF223" s="509"/>
      <c r="GG223" s="509"/>
      <c r="GH223" s="509"/>
      <c r="GI223" s="509"/>
      <c r="GJ223" s="509"/>
      <c r="GK223" s="509"/>
      <c r="GL223" s="509"/>
      <c r="GM223" s="509"/>
      <c r="GN223" s="509"/>
      <c r="GO223" s="509"/>
      <c r="GP223" s="509"/>
      <c r="GQ223" s="509"/>
      <c r="GR223" s="509"/>
      <c r="GS223" s="509"/>
      <c r="GT223" s="510"/>
      <c r="GU223" s="509"/>
      <c r="GV223" s="509"/>
      <c r="GW223" s="509"/>
      <c r="GX223" s="509"/>
      <c r="GY223" s="510"/>
      <c r="GZ223" s="510"/>
      <c r="HA223" s="510"/>
      <c r="HB223" s="510"/>
      <c r="HC223" s="510"/>
      <c r="HD223" s="510"/>
      <c r="HE223" s="510"/>
      <c r="HF223" s="510"/>
      <c r="HG223" s="510"/>
      <c r="HH223" s="510"/>
      <c r="HI223" s="510"/>
      <c r="HJ223" s="510"/>
      <c r="HK223" s="510"/>
      <c r="HL223" s="510"/>
      <c r="HM223" s="510"/>
      <c r="HN223" s="510"/>
      <c r="HO223" s="510"/>
      <c r="HP223" s="510"/>
      <c r="HQ223" s="510"/>
      <c r="HR223" s="510"/>
      <c r="HS223" s="510"/>
      <c r="HT223" s="510"/>
      <c r="HU223" s="510"/>
      <c r="HV223" s="510"/>
      <c r="HW223" s="510"/>
      <c r="HX223" s="510"/>
      <c r="HY223" s="510"/>
      <c r="HZ223" s="510"/>
      <c r="IA223" s="510"/>
      <c r="IB223" s="510"/>
      <c r="IC223" s="510"/>
      <c r="ID223" s="510"/>
      <c r="IE223" s="509"/>
      <c r="IF223" s="509"/>
      <c r="IG223" s="509"/>
      <c r="IH223" s="509"/>
      <c r="II223" s="509"/>
      <c r="IJ223" s="509"/>
      <c r="IK223" s="511"/>
      <c r="IL223" s="509"/>
      <c r="IM223" s="509"/>
      <c r="IN223" s="509"/>
      <c r="IO223" s="509"/>
      <c r="IP223" s="509"/>
      <c r="IQ223" s="509"/>
      <c r="IR223" s="509"/>
      <c r="IS223" s="509"/>
      <c r="IT223" s="509"/>
      <c r="IU223" s="509"/>
      <c r="IV223" s="509"/>
      <c r="IW223" s="509"/>
      <c r="IX223" s="509"/>
      <c r="IY223" s="509"/>
      <c r="IZ223" s="509"/>
      <c r="JA223" s="511"/>
      <c r="JB223" s="511"/>
      <c r="JC223" s="509"/>
      <c r="JD223" s="509"/>
      <c r="JE223" s="509"/>
      <c r="JF223" s="509"/>
      <c r="JG223" s="509"/>
      <c r="JH223" s="509"/>
      <c r="JI223" s="509"/>
      <c r="JJ223" s="509"/>
      <c r="JK223" s="509"/>
      <c r="JL223" s="509"/>
      <c r="JM223" s="509"/>
      <c r="JN223" s="509"/>
      <c r="JO223" s="509"/>
      <c r="JP223" s="509"/>
      <c r="JQ223" s="509"/>
      <c r="JR223" s="100"/>
      <c r="JS223" s="100"/>
      <c r="JT223" s="509"/>
      <c r="JU223" s="509"/>
      <c r="JV223" s="509"/>
      <c r="JW223" s="509"/>
      <c r="JX223" s="509"/>
      <c r="JY223" s="509"/>
      <c r="JZ223" s="509"/>
      <c r="KA223" s="509"/>
      <c r="KB223" s="509"/>
      <c r="KC223" s="509"/>
      <c r="KD223" s="509"/>
      <c r="KE223" s="509"/>
      <c r="KF223" s="509"/>
      <c r="KG223" s="509"/>
      <c r="KH223" s="509"/>
      <c r="KI223" s="509"/>
      <c r="KJ223" s="509"/>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9"/>
      <c r="EY224" s="509"/>
      <c r="EZ224" s="509"/>
      <c r="FA224" s="509"/>
      <c r="FB224" s="509"/>
      <c r="FC224" s="509"/>
      <c r="FD224" s="509"/>
      <c r="FE224" s="509"/>
      <c r="FF224" s="509"/>
      <c r="FG224" s="509"/>
      <c r="FH224" s="509"/>
      <c r="FI224" s="509"/>
      <c r="FJ224" s="509"/>
      <c r="FK224" s="509"/>
      <c r="FL224" s="509"/>
      <c r="FM224" s="509"/>
      <c r="FN224" s="509"/>
      <c r="FO224" s="509"/>
      <c r="FP224" s="509"/>
      <c r="FQ224" s="509"/>
      <c r="FR224" s="509"/>
      <c r="FS224" s="509"/>
      <c r="FT224" s="509"/>
      <c r="FU224" s="509"/>
      <c r="FV224" s="509"/>
      <c r="FW224" s="509"/>
      <c r="FX224" s="509"/>
      <c r="FY224" s="509"/>
      <c r="FZ224" s="509"/>
      <c r="GA224" s="509"/>
      <c r="GB224" s="509"/>
      <c r="GC224" s="509"/>
      <c r="GD224" s="509"/>
      <c r="GE224" s="509"/>
      <c r="GF224" s="509"/>
      <c r="GG224" s="509"/>
      <c r="GH224" s="509"/>
      <c r="GI224" s="509"/>
      <c r="GJ224" s="509"/>
      <c r="GK224" s="509"/>
      <c r="GL224" s="509"/>
      <c r="GM224" s="509"/>
      <c r="GN224" s="509"/>
      <c r="GO224" s="509"/>
      <c r="GP224" s="509"/>
      <c r="GQ224" s="509"/>
      <c r="GR224" s="509"/>
      <c r="GS224" s="509"/>
      <c r="GT224" s="510"/>
      <c r="GU224" s="509"/>
      <c r="GV224" s="509"/>
      <c r="GW224" s="509"/>
      <c r="GX224" s="509"/>
      <c r="GY224" s="510"/>
      <c r="GZ224" s="510"/>
      <c r="HA224" s="510"/>
      <c r="HB224" s="510"/>
      <c r="HC224" s="510"/>
      <c r="HD224" s="510"/>
      <c r="HE224" s="510"/>
      <c r="HF224" s="510"/>
      <c r="HG224" s="510"/>
      <c r="HH224" s="510"/>
      <c r="HI224" s="510"/>
      <c r="HJ224" s="510"/>
      <c r="HK224" s="510"/>
      <c r="HL224" s="510"/>
      <c r="HM224" s="510"/>
      <c r="HN224" s="510"/>
      <c r="HO224" s="510"/>
      <c r="HP224" s="510"/>
      <c r="HQ224" s="510"/>
      <c r="HR224" s="510"/>
      <c r="HS224" s="510"/>
      <c r="HT224" s="510"/>
      <c r="HU224" s="510"/>
      <c r="HV224" s="510"/>
      <c r="HW224" s="510"/>
      <c r="HX224" s="510"/>
      <c r="HY224" s="510"/>
      <c r="HZ224" s="510"/>
      <c r="IA224" s="510"/>
      <c r="IB224" s="510"/>
      <c r="IC224" s="510"/>
      <c r="ID224" s="510"/>
      <c r="IE224" s="509"/>
      <c r="IF224" s="509"/>
      <c r="IG224" s="509"/>
      <c r="IH224" s="509"/>
      <c r="II224" s="509"/>
      <c r="IJ224" s="509"/>
      <c r="IK224" s="511"/>
      <c r="IL224" s="509"/>
      <c r="IM224" s="509"/>
      <c r="IN224" s="509"/>
      <c r="IO224" s="509"/>
      <c r="IP224" s="509"/>
      <c r="IQ224" s="509"/>
      <c r="IR224" s="509"/>
      <c r="IS224" s="509"/>
      <c r="IT224" s="509"/>
      <c r="IU224" s="509"/>
      <c r="IV224" s="509"/>
      <c r="IW224" s="509"/>
      <c r="IX224" s="509"/>
      <c r="IY224" s="509"/>
      <c r="IZ224" s="509"/>
      <c r="JA224" s="511"/>
      <c r="JB224" s="511"/>
      <c r="JC224" s="509"/>
      <c r="JD224" s="509"/>
      <c r="JE224" s="509"/>
      <c r="JF224" s="509"/>
      <c r="JG224" s="509"/>
      <c r="JH224" s="509"/>
      <c r="JI224" s="509"/>
      <c r="JJ224" s="509"/>
      <c r="JK224" s="509"/>
      <c r="JL224" s="509"/>
      <c r="JM224" s="509"/>
      <c r="JN224" s="509"/>
      <c r="JO224" s="509"/>
      <c r="JP224" s="509"/>
      <c r="JQ224" s="509"/>
      <c r="JR224" s="100"/>
      <c r="JS224" s="100"/>
      <c r="JT224" s="509"/>
      <c r="JU224" s="509"/>
      <c r="JV224" s="509"/>
      <c r="JW224" s="509"/>
      <c r="JX224" s="509"/>
      <c r="JY224" s="509"/>
      <c r="JZ224" s="509"/>
      <c r="KA224" s="509"/>
      <c r="KB224" s="509"/>
      <c r="KC224" s="509"/>
      <c r="KD224" s="509"/>
      <c r="KE224" s="509"/>
      <c r="KF224" s="509"/>
      <c r="KG224" s="509"/>
      <c r="KH224" s="509"/>
      <c r="KI224" s="509"/>
      <c r="KJ224" s="509"/>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ahCgZKpUcygkTvPS5c4tWE/HA9OOO3mjdwrJ0rJPXK4JFLFIM8B5q7f639ITkswtNg5JEwP7F89AjwJqdsAomg==" saltValue="9oIYkhmjCJhbTTRvNLrn/A==" spinCount="100000" sheet="1" objects="1" scenarios="1" formatColumns="0" formatRows="0"/>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12" zoomScale="90" zoomScaleNormal="90" workbookViewId="0">
      <selection activeCell="A12"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089" t="str">
        <f>CONCATENATE("PART SEVEN - OPERATING PRO FORMA","  -  ",'Part I-Project Information'!$O$4," ",'Part I-Project Information'!$F$24,", ",'Part I-Project Information'!F28,", ",'Part I-Project Information'!J29," County")</f>
        <v>PART SEVEN - OPERATING PRO FORMA  -  2016-524 Wheat Street Tower, Atlanta, Fulton County</v>
      </c>
      <c r="B1" s="2879"/>
      <c r="C1" s="2879"/>
      <c r="D1" s="2879"/>
      <c r="E1" s="2879"/>
      <c r="F1" s="2879"/>
      <c r="G1" s="2879"/>
      <c r="H1" s="2879"/>
      <c r="I1" s="2879"/>
      <c r="J1" s="2879"/>
      <c r="K1" s="2880"/>
      <c r="L1" s="10"/>
      <c r="M1" s="2087" t="str">
        <f>A1</f>
        <v>PART SEVEN - OPERATING PRO FORMA  -  2016-524 Wheat Street Tower, Atlanta, Fulton County</v>
      </c>
      <c r="N1" s="2087"/>
      <c r="O1" s="10"/>
    </row>
    <row r="2" spans="1:15" ht="13.5" customHeight="1">
      <c r="A2" s="567"/>
      <c r="B2" s="567"/>
      <c r="C2" s="567"/>
      <c r="D2" s="567"/>
      <c r="E2" s="567"/>
      <c r="F2" s="567"/>
      <c r="G2" s="567"/>
      <c r="H2" s="567"/>
      <c r="I2" s="567"/>
      <c r="J2" s="567"/>
      <c r="K2" s="567"/>
      <c r="M2" s="2088" t="s">
        <v>1915</v>
      </c>
      <c r="N2" s="2088"/>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2090" t="s">
        <v>3748</v>
      </c>
      <c r="E5" s="2090"/>
      <c r="F5" s="2090"/>
      <c r="G5" s="2881">
        <v>18750</v>
      </c>
      <c r="H5" s="102" t="s">
        <v>1981</v>
      </c>
      <c r="K5" s="107">
        <f>IF(($B$14+$B$15+$B$16+$B$17)=0,"",B28/($B$14+$B$15+$B$16+$B$17))</f>
        <v>-7.9333617918887541E-3</v>
      </c>
      <c r="M5" s="2743"/>
      <c r="N5" s="2744"/>
    </row>
    <row r="6" spans="1:15">
      <c r="A6" s="17" t="s">
        <v>2268</v>
      </c>
      <c r="B6" s="82">
        <v>0.03</v>
      </c>
      <c r="C6" s="17"/>
      <c r="D6" s="2090"/>
      <c r="E6" s="2090"/>
      <c r="F6" s="2090"/>
      <c r="G6" s="17"/>
      <c r="H6" s="17"/>
      <c r="I6" s="17"/>
      <c r="J6" s="17"/>
      <c r="K6" s="17"/>
      <c r="M6" s="2745"/>
      <c r="N6" s="2746"/>
    </row>
    <row r="7" spans="1:15">
      <c r="A7" s="17" t="s">
        <v>2270</v>
      </c>
      <c r="B7" s="82">
        <v>0.03</v>
      </c>
      <c r="C7" s="17"/>
      <c r="D7" s="84" t="s">
        <v>282</v>
      </c>
      <c r="G7" s="86"/>
      <c r="H7" s="102" t="s">
        <v>2459</v>
      </c>
      <c r="K7" s="107">
        <f>IF(($B$14+$B$15+$B$16+$B$17)=0,"",-B20/($B$14+$B$15+$B$16+$B$17))</f>
        <v>5.9999909453897417E-2</v>
      </c>
      <c r="M7" s="2745"/>
      <c r="N7" s="2746"/>
    </row>
    <row r="8" spans="1:15" ht="13.15" customHeight="1">
      <c r="A8" s="17" t="s">
        <v>2269</v>
      </c>
      <c r="B8" s="2882">
        <v>7.0000000000000007E-2</v>
      </c>
      <c r="C8" s="17"/>
      <c r="D8" s="83" t="s">
        <v>2595</v>
      </c>
      <c r="G8" s="2883"/>
      <c r="H8" s="177" t="s">
        <v>1500</v>
      </c>
      <c r="K8" s="2884"/>
      <c r="M8" s="2745"/>
      <c r="N8" s="2746"/>
    </row>
    <row r="9" spans="1:15">
      <c r="A9" s="17" t="s">
        <v>1472</v>
      </c>
      <c r="B9" s="82">
        <v>0.02</v>
      </c>
      <c r="D9" s="83" t="s">
        <v>1784</v>
      </c>
      <c r="G9" s="2883" t="s">
        <v>3154</v>
      </c>
      <c r="H9" s="177" t="s">
        <v>2439</v>
      </c>
      <c r="K9" s="2885">
        <v>0.06</v>
      </c>
      <c r="M9" s="2748"/>
      <c r="N9" s="2749"/>
    </row>
    <row r="10" spans="1:15" ht="13.5" customHeight="1" thickBot="1"/>
    <row r="11" spans="1:15" ht="13.5" thickBot="1">
      <c r="A11" s="14" t="s">
        <v>93</v>
      </c>
      <c r="C11" s="1857" t="s">
        <v>4221</v>
      </c>
      <c r="D11" s="1858"/>
      <c r="E11" s="1859"/>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938" t="s">
        <v>2712</v>
      </c>
      <c r="N13" s="1938"/>
    </row>
    <row r="14" spans="1:15" ht="13.15" customHeight="1">
      <c r="A14" s="19" t="s">
        <v>2489</v>
      </c>
      <c r="B14" s="20">
        <f>'Part VI-Revenues &amp; Expenses'!$L$49</f>
        <v>2491500</v>
      </c>
      <c r="C14" s="20">
        <f t="shared" ref="C14:K14" si="1">$B$14*(1+$B$5)^(C13-1)</f>
        <v>2541330</v>
      </c>
      <c r="D14" s="20">
        <f t="shared" si="1"/>
        <v>2592156.6</v>
      </c>
      <c r="E14" s="20">
        <f t="shared" si="1"/>
        <v>2643999.7319999998</v>
      </c>
      <c r="F14" s="20">
        <f t="shared" si="1"/>
        <v>2696879.72664</v>
      </c>
      <c r="G14" s="20">
        <f t="shared" si="1"/>
        <v>2750817.3211727999</v>
      </c>
      <c r="H14" s="20">
        <f t="shared" si="1"/>
        <v>2805833.6675962564</v>
      </c>
      <c r="I14" s="20">
        <f t="shared" si="1"/>
        <v>2861950.3409481808</v>
      </c>
      <c r="J14" s="20">
        <f t="shared" si="1"/>
        <v>2919189.3477671444</v>
      </c>
      <c r="K14" s="21">
        <f t="shared" si="1"/>
        <v>2977573.1347224875</v>
      </c>
      <c r="M14" s="2743"/>
      <c r="N14" s="2744"/>
    </row>
    <row r="15" spans="1:15" ht="13.15" customHeight="1">
      <c r="A15" s="22" t="s">
        <v>1053</v>
      </c>
      <c r="B15" s="23">
        <f>MIN(B14*B9,'Part VI-Revenues &amp; Expenses'!$H$122)</f>
        <v>49830</v>
      </c>
      <c r="C15" s="23">
        <f t="shared" ref="C15:K15" si="2">$B$15*(1+$B$5)^(C13-1)</f>
        <v>50826.6</v>
      </c>
      <c r="D15" s="23">
        <f t="shared" si="2"/>
        <v>51843.131999999998</v>
      </c>
      <c r="E15" s="23">
        <f t="shared" si="2"/>
        <v>52879.994639999997</v>
      </c>
      <c r="F15" s="23">
        <f t="shared" si="2"/>
        <v>53937.594532800002</v>
      </c>
      <c r="G15" s="23">
        <f t="shared" si="2"/>
        <v>55016.346423456002</v>
      </c>
      <c r="H15" s="23">
        <f t="shared" si="2"/>
        <v>56116.673351925121</v>
      </c>
      <c r="I15" s="23">
        <f t="shared" si="2"/>
        <v>57239.006818963615</v>
      </c>
      <c r="J15" s="23">
        <f t="shared" si="2"/>
        <v>58383.78695534289</v>
      </c>
      <c r="K15" s="24">
        <f t="shared" si="2"/>
        <v>59551.46269444975</v>
      </c>
      <c r="M15" s="2745"/>
      <c r="N15" s="2746"/>
    </row>
    <row r="16" spans="1:15" ht="13.15" customHeight="1">
      <c r="A16" s="22" t="s">
        <v>2490</v>
      </c>
      <c r="B16" s="23">
        <f t="shared" ref="B16:K16" si="3">-(B14+B15)*$B$8</f>
        <v>-177893.1</v>
      </c>
      <c r="C16" s="23">
        <f t="shared" si="3"/>
        <v>-181450.96200000003</v>
      </c>
      <c r="D16" s="23">
        <f t="shared" si="3"/>
        <v>-185079.98124000005</v>
      </c>
      <c r="E16" s="23">
        <f t="shared" si="3"/>
        <v>-188781.58086480002</v>
      </c>
      <c r="F16" s="23">
        <f t="shared" si="3"/>
        <v>-192557.21248209602</v>
      </c>
      <c r="G16" s="23">
        <f t="shared" si="3"/>
        <v>-196408.35673173793</v>
      </c>
      <c r="H16" s="23">
        <f t="shared" si="3"/>
        <v>-200336.52386637274</v>
      </c>
      <c r="I16" s="23">
        <f t="shared" si="3"/>
        <v>-204343.25434370013</v>
      </c>
      <c r="J16" s="23">
        <f t="shared" si="3"/>
        <v>-208430.11943057415</v>
      </c>
      <c r="K16" s="24">
        <f t="shared" si="3"/>
        <v>-212598.72181918562</v>
      </c>
      <c r="M16" s="2745"/>
      <c r="N16" s="2746"/>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745"/>
      <c r="N17" s="2746"/>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745"/>
      <c r="N18" s="2746"/>
    </row>
    <row r="19" spans="1:14" ht="13.15" customHeight="1">
      <c r="A19" s="22" t="s">
        <v>638</v>
      </c>
      <c r="B19" s="23">
        <f>-('Part VI-Revenues &amp; Expenses'!$P$176-'Part VI-Revenues &amp; Expenses'!$P$170)</f>
        <v>-1404420</v>
      </c>
      <c r="C19" s="23">
        <f t="shared" ref="C19:K19" si="4">$B$19*(1+$B$6)^(C13-1)</f>
        <v>-1446552.6</v>
      </c>
      <c r="D19" s="23">
        <f t="shared" si="4"/>
        <v>-1489949.1779999998</v>
      </c>
      <c r="E19" s="23">
        <f t="shared" si="4"/>
        <v>-1534647.65334</v>
      </c>
      <c r="F19" s="23">
        <f t="shared" si="4"/>
        <v>-1580687.0829401999</v>
      </c>
      <c r="G19" s="23">
        <f t="shared" si="4"/>
        <v>-1628107.6954284059</v>
      </c>
      <c r="H19" s="23">
        <f t="shared" si="4"/>
        <v>-1676950.9262912581</v>
      </c>
      <c r="I19" s="23">
        <f t="shared" si="4"/>
        <v>-1727259.4540799959</v>
      </c>
      <c r="J19" s="23">
        <f t="shared" si="4"/>
        <v>-1779077.2377023955</v>
      </c>
      <c r="K19" s="24">
        <f t="shared" si="4"/>
        <v>-1832449.5548334676</v>
      </c>
      <c r="M19" s="2745"/>
      <c r="N19" s="2746"/>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-141806</v>
      </c>
      <c r="C20" s="23">
        <f>IF(AND('Part VII-Pro Forma'!$G$8="Yes",'Part VII-Pro Forma'!$G$9="Yes"),"Choose One!",IF('Part VII-Pro Forma'!$G$8="Yes",ROUND((-$K$8*(1+'Part VII-Pro Forma'!$B$6)^('Part VII-Pro Forma'!C13-1)),),IF('Part VII-Pro Forma'!$G$9="Yes",ROUND((-(SUM(C14:C17)*'Part VII-Pro Forma'!$K$9)),),"Choose mgt fee")))</f>
        <v>-144642</v>
      </c>
      <c r="D20" s="23">
        <f>IF(AND('Part VII-Pro Forma'!$G$8="Yes",'Part VII-Pro Forma'!$G$9="Yes"),"Choose One!",IF('Part VII-Pro Forma'!$G$8="Yes",ROUND((-$K$8*(1+'Part VII-Pro Forma'!$B$6)^('Part VII-Pro Forma'!D13-1)),),IF('Part VII-Pro Forma'!$G$9="Yes",ROUND((-(SUM(D14:D17)*'Part VII-Pro Forma'!$K$9)),),"Choose mgt fee")))</f>
        <v>-147535</v>
      </c>
      <c r="E20" s="23">
        <f>IF(AND('Part VII-Pro Forma'!$G$8="Yes",'Part VII-Pro Forma'!$G$9="Yes"),"Choose One!",IF('Part VII-Pro Forma'!$G$8="Yes",ROUND((-$K$8*(1+'Part VII-Pro Forma'!$B$6)^('Part VII-Pro Forma'!E13-1)),),IF('Part VII-Pro Forma'!$G$9="Yes",ROUND((-(SUM(E14:E17)*'Part VII-Pro Forma'!$K$9)),),"Choose mgt fee")))</f>
        <v>-150486</v>
      </c>
      <c r="F20" s="23">
        <f>IF(AND('Part VII-Pro Forma'!$G$8="Yes",'Part VII-Pro Forma'!$G$9="Yes"),"Choose One!",IF('Part VII-Pro Forma'!$G$8="Yes",ROUND((-$K$8*(1+'Part VII-Pro Forma'!$B$6)^('Part VII-Pro Forma'!F13-1)),),IF('Part VII-Pro Forma'!$G$9="Yes",ROUND((-(SUM(F14:F17)*'Part VII-Pro Forma'!$K$9)),),"Choose mgt fee")))</f>
        <v>-153496</v>
      </c>
      <c r="G20" s="23">
        <f>IF(AND('Part VII-Pro Forma'!$G$8="Yes",'Part VII-Pro Forma'!$G$9="Yes"),"Choose One!",IF('Part VII-Pro Forma'!$G$8="Yes",ROUND((-$K$8*(1+'Part VII-Pro Forma'!$B$6)^('Part VII-Pro Forma'!G13-1)),),IF('Part VII-Pro Forma'!$G$9="Yes",ROUND((-(SUM(G14:G17)*'Part VII-Pro Forma'!$K$9)),),"Choose mgt fee")))</f>
        <v>-156566</v>
      </c>
      <c r="H20" s="23">
        <f>IF(AND('Part VII-Pro Forma'!$G$8="Yes",'Part VII-Pro Forma'!$G$9="Yes"),"Choose One!",IF('Part VII-Pro Forma'!$G$8="Yes",ROUND((-$K$8*(1+'Part VII-Pro Forma'!$B$6)^('Part VII-Pro Forma'!H13-1)),),IF('Part VII-Pro Forma'!$G$9="Yes",ROUND((-(SUM(H14:H17)*'Part VII-Pro Forma'!$K$9)),),"Choose mgt fee")))</f>
        <v>-159697</v>
      </c>
      <c r="I20" s="23">
        <f>IF(AND('Part VII-Pro Forma'!$G$8="Yes",'Part VII-Pro Forma'!$G$9="Yes"),"Choose One!",IF('Part VII-Pro Forma'!$G$8="Yes",ROUND((-$K$8*(1+'Part VII-Pro Forma'!$B$6)^('Part VII-Pro Forma'!I13-1)),),IF('Part VII-Pro Forma'!$G$9="Yes",ROUND((-(SUM(I14:I17)*'Part VII-Pro Forma'!$K$9)),),"Choose mgt fee")))</f>
        <v>-162891</v>
      </c>
      <c r="J20" s="23">
        <f>IF(AND('Part VII-Pro Forma'!$G$8="Yes",'Part VII-Pro Forma'!$G$9="Yes"),"Choose One!",IF('Part VII-Pro Forma'!$G$8="Yes",ROUND((-$K$8*(1+'Part VII-Pro Forma'!$B$6)^('Part VII-Pro Forma'!J13-1)),),IF('Part VII-Pro Forma'!$G$9="Yes",ROUND((-(SUM(J14:J17)*'Part VII-Pro Forma'!$K$9)),),"Choose mgt fee")))</f>
        <v>-166149</v>
      </c>
      <c r="K20" s="23">
        <f>IF(AND('Part VII-Pro Forma'!$G$8="Yes",'Part VII-Pro Forma'!$G$9="Yes"),"Choose One!",IF('Part VII-Pro Forma'!$G$8="Yes",ROUND((-$K$8*(1+'Part VII-Pro Forma'!$B$6)^('Part VII-Pro Forma'!K13-1)),),IF('Part VII-Pro Forma'!$G$9="Yes",ROUND((-(SUM(K14:K17)*'Part VII-Pro Forma'!$K$9)),),"Choose mgt fee")))</f>
        <v>-169472</v>
      </c>
      <c r="M20" s="2745"/>
      <c r="N20" s="2746"/>
    </row>
    <row r="21" spans="1:14" ht="13.15" customHeight="1">
      <c r="A21" s="22" t="s">
        <v>1247</v>
      </c>
      <c r="B21" s="23">
        <f>-('Part VI-Revenues &amp; Expenses'!$P$179)</f>
        <v>-72800</v>
      </c>
      <c r="C21" s="23">
        <f t="shared" ref="C21:K21" si="5">$B$21*(1+$B$7)^(C13-1)</f>
        <v>-74984</v>
      </c>
      <c r="D21" s="23">
        <f t="shared" si="5"/>
        <v>-77233.51999999999</v>
      </c>
      <c r="E21" s="23">
        <f t="shared" si="5"/>
        <v>-79550.525599999994</v>
      </c>
      <c r="F21" s="23">
        <f t="shared" si="5"/>
        <v>-81937.041367999991</v>
      </c>
      <c r="G21" s="23">
        <f t="shared" si="5"/>
        <v>-84395.152609039986</v>
      </c>
      <c r="H21" s="23">
        <f t="shared" si="5"/>
        <v>-86927.007187311188</v>
      </c>
      <c r="I21" s="23">
        <f t="shared" si="5"/>
        <v>-89534.817402930537</v>
      </c>
      <c r="J21" s="23">
        <f t="shared" si="5"/>
        <v>-92220.861925018442</v>
      </c>
      <c r="K21" s="24">
        <f t="shared" si="5"/>
        <v>-94987.487782768992</v>
      </c>
      <c r="M21" s="2745"/>
      <c r="N21" s="2746"/>
    </row>
    <row r="22" spans="1:14" ht="13.15" customHeight="1">
      <c r="A22" s="22" t="s">
        <v>1248</v>
      </c>
      <c r="B22" s="23">
        <f t="shared" ref="B22:K22" si="6">SUM(B14:B21)</f>
        <v>744410.89999999991</v>
      </c>
      <c r="C22" s="23">
        <f t="shared" si="6"/>
        <v>744527.03800000018</v>
      </c>
      <c r="D22" s="23">
        <f t="shared" si="6"/>
        <v>744202.05276000034</v>
      </c>
      <c r="E22" s="23">
        <f t="shared" si="6"/>
        <v>743413.96683519986</v>
      </c>
      <c r="F22" s="23">
        <f t="shared" si="6"/>
        <v>742139.9843825039</v>
      </c>
      <c r="G22" s="23">
        <f t="shared" si="6"/>
        <v>740356.46282707201</v>
      </c>
      <c r="H22" s="23">
        <f t="shared" si="6"/>
        <v>738038.88360323978</v>
      </c>
      <c r="I22" s="23">
        <f t="shared" si="6"/>
        <v>735160.82194051787</v>
      </c>
      <c r="J22" s="23">
        <f t="shared" si="6"/>
        <v>731695.91566449939</v>
      </c>
      <c r="K22" s="24">
        <f t="shared" si="6"/>
        <v>727616.83298151509</v>
      </c>
      <c r="M22" s="2745"/>
      <c r="N22" s="2746"/>
    </row>
    <row r="23" spans="1:14" ht="13.15" customHeight="1">
      <c r="A23" s="472" t="s">
        <v>1648</v>
      </c>
      <c r="B23" s="2886">
        <f>IF('Part III-Sources of Funds'!$N$37="", 0,-'Part III-Sources of Funds'!$N$37)</f>
        <v>-576755.08777726337</v>
      </c>
      <c r="C23" s="2886">
        <f>IF('Part III-Sources of Funds'!$N$37="", 0,-'Part III-Sources of Funds'!$N$37)</f>
        <v>-576755.08777726337</v>
      </c>
      <c r="D23" s="2886">
        <f>IF('Part III-Sources of Funds'!$N$37="", 0,-'Part III-Sources of Funds'!$N$37)</f>
        <v>-576755.08777726337</v>
      </c>
      <c r="E23" s="2886">
        <f>IF('Part III-Sources of Funds'!$N$37="", 0,-'Part III-Sources of Funds'!$N$37)</f>
        <v>-576755.08777726337</v>
      </c>
      <c r="F23" s="2886">
        <f>IF('Part III-Sources of Funds'!$N$37="", 0,-'Part III-Sources of Funds'!$N$37)</f>
        <v>-576755.08777726337</v>
      </c>
      <c r="G23" s="2886">
        <f>IF('Part III-Sources of Funds'!$N$37="", 0,-'Part III-Sources of Funds'!$N$37)</f>
        <v>-576755.08777726337</v>
      </c>
      <c r="H23" s="2886">
        <f>IF('Part III-Sources of Funds'!$N$37="", 0,-'Part III-Sources of Funds'!$N$37)</f>
        <v>-576755.08777726337</v>
      </c>
      <c r="I23" s="2886">
        <f>IF('Part III-Sources of Funds'!$N$37="", 0,-'Part III-Sources of Funds'!$N$37)</f>
        <v>-576755.08777726337</v>
      </c>
      <c r="J23" s="2886">
        <f>IF('Part III-Sources of Funds'!$N$37="", 0,-'Part III-Sources of Funds'!$N$37)</f>
        <v>-576755.08777726337</v>
      </c>
      <c r="K23" s="2886">
        <f>IF('Part III-Sources of Funds'!$N$37="", 0,-'Part III-Sources of Funds'!$N$37)</f>
        <v>-576755.08777726337</v>
      </c>
      <c r="M23" s="2745"/>
      <c r="N23" s="2746"/>
    </row>
    <row r="24" spans="1:14" ht="13.15" customHeight="1">
      <c r="A24" s="472" t="s">
        <v>1649</v>
      </c>
      <c r="B24" s="2887">
        <f>IF('Part III-Sources of Funds'!$N$38="", 0,-'Part III-Sources of Funds'!$N$38)</f>
        <v>0</v>
      </c>
      <c r="C24" s="2887">
        <f>IF('Part III-Sources of Funds'!$N$38="", 0,-'Part III-Sources of Funds'!$N$38)</f>
        <v>0</v>
      </c>
      <c r="D24" s="2887">
        <f>IF('Part III-Sources of Funds'!$N$38="", 0,-'Part III-Sources of Funds'!$N$38)</f>
        <v>0</v>
      </c>
      <c r="E24" s="2887">
        <f>IF('Part III-Sources of Funds'!$N$38="", 0,-'Part III-Sources of Funds'!$N$38)</f>
        <v>0</v>
      </c>
      <c r="F24" s="2887">
        <f>IF('Part III-Sources of Funds'!$N$38="", 0,-'Part III-Sources of Funds'!$N$38)</f>
        <v>0</v>
      </c>
      <c r="G24" s="2887">
        <f>IF('Part III-Sources of Funds'!$N$38="", 0,-'Part III-Sources of Funds'!$N$38)</f>
        <v>0</v>
      </c>
      <c r="H24" s="2887">
        <f>IF('Part III-Sources of Funds'!$N$38="", 0,-'Part III-Sources of Funds'!$N$38)</f>
        <v>0</v>
      </c>
      <c r="I24" s="2887">
        <f>IF('Part III-Sources of Funds'!$N$38="", 0,-'Part III-Sources of Funds'!$N$38)</f>
        <v>0</v>
      </c>
      <c r="J24" s="2887">
        <f>IF('Part III-Sources of Funds'!$N$38="", 0,-'Part III-Sources of Funds'!$N$38)</f>
        <v>0</v>
      </c>
      <c r="K24" s="2887">
        <f>IF('Part III-Sources of Funds'!$N$38="", 0,-'Part III-Sources of Funds'!$N$38)</f>
        <v>0</v>
      </c>
      <c r="M24" s="2745"/>
      <c r="N24" s="2746"/>
    </row>
    <row r="25" spans="1:14" ht="13.15" customHeight="1">
      <c r="A25" s="472" t="s">
        <v>1650</v>
      </c>
      <c r="B25" s="2887">
        <f>IF('Part III-Sources of Funds'!$N$39="", 0,-'Part III-Sources of Funds'!$N$39)</f>
        <v>0</v>
      </c>
      <c r="C25" s="2887">
        <f>IF('Part III-Sources of Funds'!$N$39="", 0,-'Part III-Sources of Funds'!$N$39)</f>
        <v>0</v>
      </c>
      <c r="D25" s="2887">
        <f>IF('Part III-Sources of Funds'!$N$39="", 0,-'Part III-Sources of Funds'!$N$39)</f>
        <v>0</v>
      </c>
      <c r="E25" s="2887">
        <f>IF('Part III-Sources of Funds'!$N$39="", 0,-'Part III-Sources of Funds'!$N$39)</f>
        <v>0</v>
      </c>
      <c r="F25" s="2887">
        <f>IF('Part III-Sources of Funds'!$N$39="", 0,-'Part III-Sources of Funds'!$N$39)</f>
        <v>0</v>
      </c>
      <c r="G25" s="2887">
        <f>IF('Part III-Sources of Funds'!$N$39="", 0,-'Part III-Sources of Funds'!$N$39)</f>
        <v>0</v>
      </c>
      <c r="H25" s="2887">
        <f>IF('Part III-Sources of Funds'!$N$39="", 0,-'Part III-Sources of Funds'!$N$39)</f>
        <v>0</v>
      </c>
      <c r="I25" s="2887">
        <f>IF('Part III-Sources of Funds'!$N$39="", 0,-'Part III-Sources of Funds'!$N$39)</f>
        <v>0</v>
      </c>
      <c r="J25" s="2887">
        <f>IF('Part III-Sources of Funds'!$N$39="", 0,-'Part III-Sources of Funds'!$N$39)</f>
        <v>0</v>
      </c>
      <c r="K25" s="2887">
        <f>IF('Part III-Sources of Funds'!$N$39="", 0,-'Part III-Sources of Funds'!$N$39)</f>
        <v>0</v>
      </c>
      <c r="M25" s="2745"/>
      <c r="N25" s="2746"/>
    </row>
    <row r="26" spans="1:14" ht="13.15" customHeight="1">
      <c r="A26" s="22" t="s">
        <v>814</v>
      </c>
      <c r="B26" s="2887">
        <f>IF('Part III-Sources of Funds'!$N$40="", 0,-'Part III-Sources of Funds'!$N$40)</f>
        <v>0</v>
      </c>
      <c r="C26" s="2887">
        <f>IF('Part III-Sources of Funds'!$N$40="", 0,-'Part III-Sources of Funds'!$N$40)</f>
        <v>0</v>
      </c>
      <c r="D26" s="2887">
        <f>IF('Part III-Sources of Funds'!$N$40="", 0,-'Part III-Sources of Funds'!$N$40)</f>
        <v>0</v>
      </c>
      <c r="E26" s="2887">
        <f>IF('Part III-Sources of Funds'!$N$40="", 0,-'Part III-Sources of Funds'!$N$40)</f>
        <v>0</v>
      </c>
      <c r="F26" s="2887">
        <f>IF('Part III-Sources of Funds'!$N$40="", 0,-'Part III-Sources of Funds'!$N$40)</f>
        <v>0</v>
      </c>
      <c r="G26" s="2887">
        <f>IF('Part III-Sources of Funds'!$N$40="", 0,-'Part III-Sources of Funds'!$N$40)</f>
        <v>0</v>
      </c>
      <c r="H26" s="2887">
        <f>IF('Part III-Sources of Funds'!$N$40="", 0,-'Part III-Sources of Funds'!$N$40)</f>
        <v>0</v>
      </c>
      <c r="I26" s="2887">
        <f>IF('Part III-Sources of Funds'!$N$40="", 0,-'Part III-Sources of Funds'!$N$40)</f>
        <v>0</v>
      </c>
      <c r="J26" s="2887">
        <f>IF('Part III-Sources of Funds'!$N$40="", 0,-'Part III-Sources of Funds'!$N$40)</f>
        <v>0</v>
      </c>
      <c r="K26" s="2887">
        <f>IF('Part III-Sources of Funds'!$N$40="", 0,-'Part III-Sources of Funds'!$N$40)</f>
        <v>0</v>
      </c>
      <c r="M26" s="2745"/>
      <c r="N26" s="2746"/>
    </row>
    <row r="27" spans="1:14" ht="13.15" customHeight="1">
      <c r="A27" s="22" t="s">
        <v>794</v>
      </c>
      <c r="B27" s="2888"/>
      <c r="C27" s="2888"/>
      <c r="D27" s="2888"/>
      <c r="E27" s="2888"/>
      <c r="F27" s="2888"/>
      <c r="G27" s="2888"/>
      <c r="H27" s="2888"/>
      <c r="I27" s="2888"/>
      <c r="J27" s="2888"/>
      <c r="K27" s="2888"/>
      <c r="M27" s="2745"/>
      <c r="N27" s="2746"/>
    </row>
    <row r="28" spans="1:14" ht="13.15" customHeight="1">
      <c r="A28" s="22" t="s">
        <v>1206</v>
      </c>
      <c r="B28" s="2887">
        <f>-$G$5</f>
        <v>-18750</v>
      </c>
      <c r="C28" s="2887">
        <f t="shared" ref="C28:K28" si="7">+B28</f>
        <v>-18750</v>
      </c>
      <c r="D28" s="2887">
        <f t="shared" si="7"/>
        <v>-18750</v>
      </c>
      <c r="E28" s="2887">
        <f t="shared" si="7"/>
        <v>-18750</v>
      </c>
      <c r="F28" s="2887">
        <f t="shared" si="7"/>
        <v>-18750</v>
      </c>
      <c r="G28" s="2887">
        <f t="shared" si="7"/>
        <v>-18750</v>
      </c>
      <c r="H28" s="2887">
        <f t="shared" si="7"/>
        <v>-18750</v>
      </c>
      <c r="I28" s="2887">
        <f t="shared" si="7"/>
        <v>-18750</v>
      </c>
      <c r="J28" s="2887">
        <f t="shared" si="7"/>
        <v>-18750</v>
      </c>
      <c r="K28" s="2887">
        <f t="shared" si="7"/>
        <v>-18750</v>
      </c>
      <c r="M28" s="2745"/>
      <c r="N28" s="2746"/>
    </row>
    <row r="29" spans="1:14" ht="13.15" customHeight="1">
      <c r="A29" s="22" t="s">
        <v>1249</v>
      </c>
      <c r="B29" s="2889">
        <f>IF('Part III-Sources of Funds'!$N$42="", 0,-'Part III-Sources of Funds'!$N$42)</f>
        <v>0</v>
      </c>
      <c r="C29" s="2889">
        <f>IF('Part III-Sources of Funds'!$N$42="", 0,-'Part III-Sources of Funds'!$N$42)</f>
        <v>0</v>
      </c>
      <c r="D29" s="2889">
        <f>IF('Part III-Sources of Funds'!$N$42="", 0,-'Part III-Sources of Funds'!$N$42)</f>
        <v>0</v>
      </c>
      <c r="E29" s="2889">
        <f>IF('Part III-Sources of Funds'!$N$42="", 0,-'Part III-Sources of Funds'!$N$42)</f>
        <v>0</v>
      </c>
      <c r="F29" s="2889">
        <f>IF('Part III-Sources of Funds'!$N$42="", 0,-'Part III-Sources of Funds'!$N$42)</f>
        <v>0</v>
      </c>
      <c r="G29" s="2889">
        <f>IF('Part III-Sources of Funds'!$N$42="", 0,-'Part III-Sources of Funds'!$N$42)</f>
        <v>0</v>
      </c>
      <c r="H29" s="2889">
        <f>IF('Part III-Sources of Funds'!$N$42="", 0,-'Part III-Sources of Funds'!$N$42)</f>
        <v>0</v>
      </c>
      <c r="I29" s="2889">
        <f>IF('Part III-Sources of Funds'!$N$42="", 0,-'Part III-Sources of Funds'!$N$42)</f>
        <v>0</v>
      </c>
      <c r="J29" s="2889">
        <f>IF('Part III-Sources of Funds'!$N$42="", 0,-'Part III-Sources of Funds'!$N$42)</f>
        <v>0</v>
      </c>
      <c r="K29" s="2889">
        <f>IF('Part III-Sources of Funds'!$N$42="", 0,-'Part III-Sources of Funds'!$N$42)</f>
        <v>0</v>
      </c>
      <c r="M29" s="2745"/>
      <c r="N29" s="2746"/>
    </row>
    <row r="30" spans="1:14" ht="13.15" customHeight="1">
      <c r="A30" s="22" t="s">
        <v>1207</v>
      </c>
      <c r="B30" s="23">
        <f t="shared" ref="B30:K30" si="8">SUM(B22:B29)</f>
        <v>148905.81222273654</v>
      </c>
      <c r="C30" s="23">
        <f t="shared" si="8"/>
        <v>149021.95022273681</v>
      </c>
      <c r="D30" s="23">
        <f t="shared" si="8"/>
        <v>148696.96498273697</v>
      </c>
      <c r="E30" s="23">
        <f t="shared" si="8"/>
        <v>147908.87905793649</v>
      </c>
      <c r="F30" s="23">
        <f t="shared" si="8"/>
        <v>146634.89660524053</v>
      </c>
      <c r="G30" s="23">
        <f t="shared" si="8"/>
        <v>144851.37504980864</v>
      </c>
      <c r="H30" s="23">
        <f t="shared" si="8"/>
        <v>142533.79582597641</v>
      </c>
      <c r="I30" s="23">
        <f t="shared" si="8"/>
        <v>139655.7341632545</v>
      </c>
      <c r="J30" s="23">
        <f t="shared" si="8"/>
        <v>136190.82788723602</v>
      </c>
      <c r="K30" s="24">
        <f t="shared" si="8"/>
        <v>132111.74520425173</v>
      </c>
      <c r="M30" s="2745"/>
      <c r="N30" s="2746"/>
    </row>
    <row r="31" spans="1:14" ht="13.15" customHeight="1">
      <c r="A31" s="22" t="str">
        <f>IF('Part III-Sources of Funds'!$E$37 = "Neither", "", "DCR Mortgage A")</f>
        <v>DCR Mortgage A</v>
      </c>
      <c r="B31" s="25">
        <f>IF(B23=0,"",-B22/B23)</f>
        <v>1.2906880507441374</v>
      </c>
      <c r="C31" s="25">
        <f t="shared" ref="C31:K31" si="9">IF(C23=0,"",-C22/C23)</f>
        <v>1.2908894152443584</v>
      </c>
      <c r="D31" s="25">
        <f t="shared" si="9"/>
        <v>1.2903259434226322</v>
      </c>
      <c r="E31" s="25">
        <f t="shared" si="9"/>
        <v>1.2889595299457477</v>
      </c>
      <c r="F31" s="25">
        <f t="shared" si="9"/>
        <v>1.2867506505102742</v>
      </c>
      <c r="G31" s="25">
        <f t="shared" si="9"/>
        <v>1.2836583127169392</v>
      </c>
      <c r="H31" s="25">
        <f t="shared" si="9"/>
        <v>1.279640005340122</v>
      </c>
      <c r="I31" s="25">
        <f t="shared" si="9"/>
        <v>1.27464991210347</v>
      </c>
      <c r="J31" s="25">
        <f t="shared" si="9"/>
        <v>1.2686423252621093</v>
      </c>
      <c r="K31" s="26">
        <f t="shared" si="9"/>
        <v>1.2615698559082549</v>
      </c>
      <c r="M31" s="2745"/>
      <c r="N31" s="2746"/>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745"/>
      <c r="N32" s="2746"/>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745"/>
      <c r="N33" s="2746"/>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745"/>
      <c r="N34" s="2746"/>
    </row>
    <row r="35" spans="1:14" ht="13.15" customHeight="1">
      <c r="A35" s="472" t="s">
        <v>4200</v>
      </c>
      <c r="B35" s="25">
        <f>IF(AND(B23=0,B24=0,B25=0,B26=0),"",-B22/(B23+B24+B25+B26))</f>
        <v>1.2906880507441374</v>
      </c>
      <c r="C35" s="25">
        <f t="shared" ref="C35:K35" si="13">IF(AND(C23=0,C24=0,C25=0,C26=0),"",-C22/(C23+C24+C25+C26))</f>
        <v>1.2908894152443584</v>
      </c>
      <c r="D35" s="25">
        <f t="shared" si="13"/>
        <v>1.2903259434226322</v>
      </c>
      <c r="E35" s="25">
        <f t="shared" si="13"/>
        <v>1.2889595299457477</v>
      </c>
      <c r="F35" s="25">
        <f t="shared" si="13"/>
        <v>1.2867506505102742</v>
      </c>
      <c r="G35" s="25">
        <f t="shared" si="13"/>
        <v>1.2836583127169392</v>
      </c>
      <c r="H35" s="25">
        <f t="shared" si="13"/>
        <v>1.279640005340122</v>
      </c>
      <c r="I35" s="25">
        <f t="shared" si="13"/>
        <v>1.27464991210347</v>
      </c>
      <c r="J35" s="25">
        <f t="shared" si="13"/>
        <v>1.2686423252621093</v>
      </c>
      <c r="K35" s="26">
        <f t="shared" si="13"/>
        <v>1.2615698559082549</v>
      </c>
      <c r="M35" s="2745"/>
      <c r="N35" s="2746"/>
    </row>
    <row r="36" spans="1:14" ht="13.15" customHeight="1">
      <c r="A36" s="22" t="s">
        <v>801</v>
      </c>
      <c r="B36" s="293">
        <f>IF(OR(B20="Choose mgt fee",B20="Choose One!"),"",(B14+B15+B16+B17+B18) / -(B19+B20+B21))</f>
        <v>1.4597893424812201</v>
      </c>
      <c r="C36" s="293">
        <f t="shared" ref="C36:K36" si="14">IF(OR(C20="Choose mgt fee",C20="Choose One!"),"",(C14+C15+C16+C17+C18) / -(C19+C20+C21))</f>
        <v>1.4468470774981745</v>
      </c>
      <c r="D36" s="293">
        <f t="shared" si="14"/>
        <v>1.4340084980915619</v>
      </c>
      <c r="E36" s="293">
        <f t="shared" si="14"/>
        <v>1.4212730956095212</v>
      </c>
      <c r="F36" s="293">
        <f t="shared" si="14"/>
        <v>1.4086403616419378</v>
      </c>
      <c r="G36" s="293">
        <f t="shared" si="14"/>
        <v>1.3961097867552921</v>
      </c>
      <c r="H36" s="293">
        <f t="shared" si="14"/>
        <v>1.3836808594030592</v>
      </c>
      <c r="I36" s="293">
        <f t="shared" si="14"/>
        <v>1.3713523722838175</v>
      </c>
      <c r="J36" s="293">
        <f t="shared" si="14"/>
        <v>1.3591238839027056</v>
      </c>
      <c r="K36" s="294">
        <f t="shared" si="14"/>
        <v>1.3469949426483918</v>
      </c>
      <c r="M36" s="2745"/>
      <c r="N36" s="2746"/>
    </row>
    <row r="37" spans="1:14" ht="13.15" customHeight="1">
      <c r="A37" s="472" t="s">
        <v>2705</v>
      </c>
      <c r="B37" s="2890">
        <f>IF('Part III-Sources of Funds'!$I$37="","",-FV('Part III-Sources of Funds'!$K$37/12,12,B23/12,'Part III-Sources of Funds'!$I$37))</f>
        <v>11381080.439505467</v>
      </c>
      <c r="C37" s="2890">
        <f>IF('Part III-Sources of Funds'!$I$37="","",-FV('Part III-Sources of Funds'!$K$37/12,12,C23/12,B37))</f>
        <v>11257315.912633045</v>
      </c>
      <c r="D37" s="2890">
        <f>IF('Part III-Sources of Funds'!$I$37="","",-FV('Part III-Sources of Funds'!$K$37/12,12,D23/12,C37))</f>
        <v>11128509.027977102</v>
      </c>
      <c r="E37" s="2890">
        <f>IF('Part III-Sources of Funds'!$I$37="","",-FV('Part III-Sources of Funds'!$K$37/12,12,E23/12,D37))</f>
        <v>10994454.352101583</v>
      </c>
      <c r="F37" s="2890">
        <f>IF('Part III-Sources of Funds'!$I$37="","",-FV('Part III-Sources of Funds'!$K$37/12,12,F23/12,E37))</f>
        <v>10854938.081895284</v>
      </c>
      <c r="G37" s="2890">
        <f>IF('Part III-Sources of Funds'!$I$37="","",-FV('Part III-Sources of Funds'!$K$37/12,12,G23/12,F37))</f>
        <v>10709737.703578366</v>
      </c>
      <c r="H37" s="2890">
        <f>IF('Part III-Sources of Funds'!$I$37="","",-FV('Part III-Sources of Funds'!$K$37/12,12,H23/12,G37))</f>
        <v>10558621.637816278</v>
      </c>
      <c r="I37" s="2890">
        <f>IF('Part III-Sources of Funds'!$I$37="","",-FV('Part III-Sources of Funds'!$K$37/12,12,I23/12,H37))</f>
        <v>10401348.870375076</v>
      </c>
      <c r="J37" s="2890">
        <f>IF('Part III-Sources of Funds'!$I$37="","",-FV('Part III-Sources of Funds'!$K$37/12,12,J23/12,I37))</f>
        <v>10237668.567729054</v>
      </c>
      <c r="K37" s="2890">
        <f>IF('Part III-Sources of Funds'!$I$37="","",-FV('Part III-Sources of Funds'!$K$37/12,12,K23/12,J37))</f>
        <v>10067319.677007655</v>
      </c>
      <c r="M37" s="2745"/>
      <c r="N37" s="2746"/>
    </row>
    <row r="38" spans="1:14" ht="13.15" customHeight="1">
      <c r="A38" s="472" t="s">
        <v>2706</v>
      </c>
      <c r="B38" s="2887" t="str">
        <f>IF('Part III-Sources of Funds'!$I$38="","",-FV('Part III-Sources of Funds'!$K$38/12,12,B24/12,'Part III-Sources of Funds'!$I$38))</f>
        <v/>
      </c>
      <c r="C38" s="2887" t="str">
        <f>IF('Part III-Sources of Funds'!$I$38="","",-FV('Part III-Sources of Funds'!$K$38/12,12,C24/12,B38))</f>
        <v/>
      </c>
      <c r="D38" s="2887" t="str">
        <f>IF('Part III-Sources of Funds'!$I$38="","",-FV('Part III-Sources of Funds'!$K$38/12,12,D24/12,C38))</f>
        <v/>
      </c>
      <c r="E38" s="2887" t="str">
        <f>IF('Part III-Sources of Funds'!$I$38="","",-FV('Part III-Sources of Funds'!$K$38/12,12,E24/12,D38))</f>
        <v/>
      </c>
      <c r="F38" s="2887" t="str">
        <f>IF('Part III-Sources of Funds'!$I$38="","",-FV('Part III-Sources of Funds'!$K$38/12,12,F24/12,E38))</f>
        <v/>
      </c>
      <c r="G38" s="2887" t="str">
        <f>IF('Part III-Sources of Funds'!$I$38="","",-FV('Part III-Sources of Funds'!$K$38/12,12,G24/12,F38))</f>
        <v/>
      </c>
      <c r="H38" s="2887" t="str">
        <f>IF('Part III-Sources of Funds'!$I$38="","",-FV('Part III-Sources of Funds'!$K$38/12,12,H24/12,G38))</f>
        <v/>
      </c>
      <c r="I38" s="2887" t="str">
        <f>IF('Part III-Sources of Funds'!$I$38="","",-FV('Part III-Sources of Funds'!$K$38/12,12,I24/12,H38))</f>
        <v/>
      </c>
      <c r="J38" s="2887" t="str">
        <f>IF('Part III-Sources of Funds'!$I$38="","",-FV('Part III-Sources of Funds'!$K$38/12,12,J24/12,I38))</f>
        <v/>
      </c>
      <c r="K38" s="2887" t="str">
        <f>IF('Part III-Sources of Funds'!$I$38="","",-FV('Part III-Sources of Funds'!$K$38/12,12,K24/12,J38))</f>
        <v/>
      </c>
      <c r="M38" s="2745"/>
      <c r="N38" s="2746"/>
    </row>
    <row r="39" spans="1:14" ht="13.15" customHeight="1">
      <c r="A39" s="472" t="s">
        <v>2707</v>
      </c>
      <c r="B39" s="2887" t="str">
        <f>IF('Part III-Sources of Funds'!$I$39="","",-FV('Part III-Sources of Funds'!$K$39/12,12,B25/12,'Part III-Sources of Funds'!$I$39))</f>
        <v/>
      </c>
      <c r="C39" s="2887" t="str">
        <f>IF('Part III-Sources of Funds'!$I$39="","",-FV('Part III-Sources of Funds'!$K$39/12,12,C25/12,B39))</f>
        <v/>
      </c>
      <c r="D39" s="2887" t="str">
        <f>IF('Part III-Sources of Funds'!$I$39="","",-FV('Part III-Sources of Funds'!$K$39/12,12,D25/12,C39))</f>
        <v/>
      </c>
      <c r="E39" s="2887" t="str">
        <f>IF('Part III-Sources of Funds'!$I$39="","",-FV('Part III-Sources of Funds'!$K$39/12,12,E25/12,D39))</f>
        <v/>
      </c>
      <c r="F39" s="2887" t="str">
        <f>IF('Part III-Sources of Funds'!$I$39="","",-FV('Part III-Sources of Funds'!$K$39/12,12,F25/12,E39))</f>
        <v/>
      </c>
      <c r="G39" s="2887" t="str">
        <f>IF('Part III-Sources of Funds'!$I$39="","",-FV('Part III-Sources of Funds'!$K$39/12,12,G25/12,F39))</f>
        <v/>
      </c>
      <c r="H39" s="2887" t="str">
        <f>IF('Part III-Sources of Funds'!$I$39="","",-FV('Part III-Sources of Funds'!$K$39/12,12,H25/12,G39))</f>
        <v/>
      </c>
      <c r="I39" s="2887" t="str">
        <f>IF('Part III-Sources of Funds'!$I$39="","",-FV('Part III-Sources of Funds'!$K$39/12,12,I25/12,H39))</f>
        <v/>
      </c>
      <c r="J39" s="2887" t="str">
        <f>IF('Part III-Sources of Funds'!$I$39="","",-FV('Part III-Sources of Funds'!$K$39/12,12,J25/12,I39))</f>
        <v/>
      </c>
      <c r="K39" s="2887" t="str">
        <f>IF('Part III-Sources of Funds'!$I$39="","",-FV('Part III-Sources of Funds'!$K$39/12,12,K25/12,J39))</f>
        <v/>
      </c>
      <c r="M39" s="2745"/>
      <c r="N39" s="2746"/>
    </row>
    <row r="40" spans="1:14" ht="13.15" customHeight="1">
      <c r="A40" s="22" t="s">
        <v>816</v>
      </c>
      <c r="B40" s="2887" t="str">
        <f>IF('Part III-Sources of Funds'!$I$40="","",-FV('Part III-Sources of Funds'!$K$40/12,12,B24/12,'Part III-Sources of Funds'!$I$40))</f>
        <v/>
      </c>
      <c r="C40" s="2887" t="str">
        <f>IF('Part III-Sources of Funds'!$I$40="","",-FV('Part III-Sources of Funds'!$K$40/12,12,C26/12,B40))</f>
        <v/>
      </c>
      <c r="D40" s="2887" t="str">
        <f>IF('Part III-Sources of Funds'!$I$40="","",-FV('Part III-Sources of Funds'!$K$40/12,12,D26/12,C40))</f>
        <v/>
      </c>
      <c r="E40" s="2887" t="str">
        <f>IF('Part III-Sources of Funds'!$I$40="","",-FV('Part III-Sources of Funds'!$K$40/12,12,E26/12,D40))</f>
        <v/>
      </c>
      <c r="F40" s="2887" t="str">
        <f>IF('Part III-Sources of Funds'!$I$40="","",-FV('Part III-Sources of Funds'!$K$40/12,12,F26/12,E40))</f>
        <v/>
      </c>
      <c r="G40" s="2887" t="str">
        <f>IF('Part III-Sources of Funds'!$I$40="","",-FV('Part III-Sources of Funds'!$K$40/12,12,G26/12,F40))</f>
        <v/>
      </c>
      <c r="H40" s="2887" t="str">
        <f>IF('Part III-Sources of Funds'!$I$40="","",-FV('Part III-Sources of Funds'!$K$40/12,12,H26/12,G40))</f>
        <v/>
      </c>
      <c r="I40" s="2887" t="str">
        <f>IF('Part III-Sources of Funds'!$I$40="","",-FV('Part III-Sources of Funds'!$K$40/12,12,I26/12,H40))</f>
        <v/>
      </c>
      <c r="J40" s="2887" t="str">
        <f>IF('Part III-Sources of Funds'!$I$40="","",-FV('Part III-Sources of Funds'!$K$40/12,12,J26/12,I40))</f>
        <v/>
      </c>
      <c r="K40" s="2887" t="str">
        <f>IF('Part III-Sources of Funds'!$I$40="","",-FV('Part III-Sources of Funds'!$K$40/12,12,K26/12,J40))</f>
        <v/>
      </c>
      <c r="M40" s="2745"/>
      <c r="N40" s="2746"/>
    </row>
    <row r="41" spans="1:14" ht="13.15" customHeight="1">
      <c r="A41" s="27" t="s">
        <v>1284</v>
      </c>
      <c r="B41" s="2889">
        <f>IF('Part III-Sources of Funds'!$I$42="","",-FV('Part III-Sources of Funds'!$K$42/12,12,B29/12,'Part III-Sources of Funds'!$I$42))</f>
        <v>11808</v>
      </c>
      <c r="C41" s="2889"/>
      <c r="D41" s="2889"/>
      <c r="E41" s="2889"/>
      <c r="F41" s="2889"/>
      <c r="G41" s="2889"/>
      <c r="H41" s="2889"/>
      <c r="I41" s="2889"/>
      <c r="J41" s="2889"/>
      <c r="K41" s="2889"/>
      <c r="M41" s="2748"/>
      <c r="N41" s="2749"/>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938" t="s">
        <v>2710</v>
      </c>
      <c r="N43" s="1938"/>
    </row>
    <row r="44" spans="1:14" ht="13.15" customHeight="1">
      <c r="A44" s="19" t="s">
        <v>2489</v>
      </c>
      <c r="B44" s="20">
        <f t="shared" ref="B44:K44" si="16">$B$14*(1+$B$5)^(B43-1)</f>
        <v>3037124.5974169374</v>
      </c>
      <c r="C44" s="20">
        <f t="shared" si="16"/>
        <v>3097867.0893652756</v>
      </c>
      <c r="D44" s="20">
        <f t="shared" si="16"/>
        <v>3159824.4311525817</v>
      </c>
      <c r="E44" s="20">
        <f t="shared" si="16"/>
        <v>3223020.9197756331</v>
      </c>
      <c r="F44" s="20">
        <f t="shared" si="16"/>
        <v>3287481.3381711459</v>
      </c>
      <c r="G44" s="20">
        <f t="shared" si="16"/>
        <v>3353230.9649345679</v>
      </c>
      <c r="H44" s="20">
        <f t="shared" si="16"/>
        <v>3420295.5842332598</v>
      </c>
      <c r="I44" s="20">
        <f t="shared" si="16"/>
        <v>3488701.4959179256</v>
      </c>
      <c r="J44" s="20">
        <f t="shared" si="16"/>
        <v>3558475.5258362833</v>
      </c>
      <c r="K44" s="21">
        <f t="shared" si="16"/>
        <v>3629645.0363530088</v>
      </c>
      <c r="M44" s="2743"/>
      <c r="N44" s="2744"/>
    </row>
    <row r="45" spans="1:14" ht="13.15" customHeight="1">
      <c r="A45" s="22" t="s">
        <v>1053</v>
      </c>
      <c r="B45" s="23">
        <f t="shared" ref="B45:K45" si="17">$B$15*(1+$B$5)^(B43-1)</f>
        <v>60742.491948338749</v>
      </c>
      <c r="C45" s="23">
        <f t="shared" si="17"/>
        <v>61957.341787305508</v>
      </c>
      <c r="D45" s="23">
        <f t="shared" si="17"/>
        <v>63196.488623051628</v>
      </c>
      <c r="E45" s="23">
        <f t="shared" si="17"/>
        <v>64460.418395512657</v>
      </c>
      <c r="F45" s="23">
        <f t="shared" si="17"/>
        <v>65749.626763422915</v>
      </c>
      <c r="G45" s="23">
        <f t="shared" si="17"/>
        <v>67064.619298691352</v>
      </c>
      <c r="H45" s="23">
        <f t="shared" si="17"/>
        <v>68405.911684665203</v>
      </c>
      <c r="I45" s="23">
        <f t="shared" si="17"/>
        <v>69774.029918358501</v>
      </c>
      <c r="J45" s="23">
        <f t="shared" si="17"/>
        <v>71169.51051672567</v>
      </c>
      <c r="K45" s="24">
        <f t="shared" si="17"/>
        <v>72592.900727060187</v>
      </c>
      <c r="M45" s="2745"/>
      <c r="N45" s="2746"/>
    </row>
    <row r="46" spans="1:14" ht="13.15" customHeight="1">
      <c r="A46" s="22" t="s">
        <v>2490</v>
      </c>
      <c r="B46" s="23">
        <f t="shared" ref="B46:K46" si="18">-(B44+B45)*$B$8</f>
        <v>-216850.69625556935</v>
      </c>
      <c r="C46" s="23">
        <f t="shared" si="18"/>
        <v>-221187.7101806807</v>
      </c>
      <c r="D46" s="23">
        <f t="shared" si="18"/>
        <v>-225611.46438429435</v>
      </c>
      <c r="E46" s="23">
        <f t="shared" si="18"/>
        <v>-230123.69367198023</v>
      </c>
      <c r="F46" s="23">
        <f t="shared" si="18"/>
        <v>-234726.16754541986</v>
      </c>
      <c r="G46" s="23">
        <f t="shared" si="18"/>
        <v>-239420.69089632819</v>
      </c>
      <c r="H46" s="23">
        <f t="shared" si="18"/>
        <v>-244209.10471425479</v>
      </c>
      <c r="I46" s="23">
        <f t="shared" si="18"/>
        <v>-249093.28680853991</v>
      </c>
      <c r="J46" s="23">
        <f t="shared" si="18"/>
        <v>-254075.15254471064</v>
      </c>
      <c r="K46" s="24">
        <f t="shared" si="18"/>
        <v>-259156.65559560485</v>
      </c>
      <c r="M46" s="2745"/>
      <c r="N46" s="2746"/>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745"/>
      <c r="N47" s="2746"/>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745"/>
      <c r="N48" s="2746"/>
    </row>
    <row r="49" spans="1:14" ht="13.15" customHeight="1">
      <c r="A49" s="22" t="s">
        <v>638</v>
      </c>
      <c r="B49" s="23">
        <f t="shared" ref="B49:K49" si="19">$B$19*(1+$B$6)^(B43-1)</f>
        <v>-1887423.0414784716</v>
      </c>
      <c r="C49" s="23">
        <f t="shared" si="19"/>
        <v>-1944045.7327228258</v>
      </c>
      <c r="D49" s="23">
        <f t="shared" si="19"/>
        <v>-2002367.1047045102</v>
      </c>
      <c r="E49" s="23">
        <f t="shared" si="19"/>
        <v>-2062438.1178456454</v>
      </c>
      <c r="F49" s="23">
        <f t="shared" si="19"/>
        <v>-2124311.2613810152</v>
      </c>
      <c r="G49" s="23">
        <f t="shared" si="19"/>
        <v>-2188040.5992224454</v>
      </c>
      <c r="H49" s="23">
        <f t="shared" si="19"/>
        <v>-2253681.8171991184</v>
      </c>
      <c r="I49" s="23">
        <f t="shared" si="19"/>
        <v>-2321292.271715092</v>
      </c>
      <c r="J49" s="23">
        <f t="shared" si="19"/>
        <v>-2390931.0398665448</v>
      </c>
      <c r="K49" s="24">
        <f t="shared" si="19"/>
        <v>-2462658.971062541</v>
      </c>
      <c r="M49" s="2745"/>
      <c r="N49" s="2746"/>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-172861</v>
      </c>
      <c r="C50" s="23">
        <f>IF(AND('Part VII-Pro Forma'!$G$8="Yes",'Part VII-Pro Forma'!$G$9="Yes"),"Choose One!",IF('Part VII-Pro Forma'!$G$8="Yes",ROUND((-$K$8*(1+'Part VII-Pro Forma'!$B$6)^('Part VII-Pro Forma'!C43-1)),),IF('Part VII-Pro Forma'!$G$9="Yes",ROUND((-(SUM(C44:C47)*'Part VII-Pro Forma'!$K$9)),),"Choose mgt fee")))</f>
        <v>-176318</v>
      </c>
      <c r="D50" s="23">
        <f>IF(AND('Part VII-Pro Forma'!$G$8="Yes",'Part VII-Pro Forma'!$G$9="Yes"),"Choose One!",IF('Part VII-Pro Forma'!$G$8="Yes",ROUND((-$K$8*(1+'Part VII-Pro Forma'!$B$6)^('Part VII-Pro Forma'!D43-1)),),IF('Part VII-Pro Forma'!$G$9="Yes",ROUND((-(SUM(D44:D47)*'Part VII-Pro Forma'!$K$9)),),"Choose mgt fee")))</f>
        <v>-179845</v>
      </c>
      <c r="E50" s="23">
        <f>IF(AND('Part VII-Pro Forma'!$G$8="Yes",'Part VII-Pro Forma'!$G$9="Yes"),"Choose One!",IF('Part VII-Pro Forma'!$G$8="Yes",ROUND((-$K$8*(1+'Part VII-Pro Forma'!$B$6)^('Part VII-Pro Forma'!E43-1)),),IF('Part VII-Pro Forma'!$G$9="Yes",ROUND((-(SUM(E44:E47)*'Part VII-Pro Forma'!$K$9)),),"Choose mgt fee")))</f>
        <v>-183441</v>
      </c>
      <c r="F50" s="23">
        <f>IF(AND('Part VII-Pro Forma'!$G$8="Yes",'Part VII-Pro Forma'!$G$9="Yes"),"Choose One!",IF('Part VII-Pro Forma'!$G$8="Yes",ROUND((-$K$8*(1+'Part VII-Pro Forma'!$B$6)^('Part VII-Pro Forma'!F43-1)),),IF('Part VII-Pro Forma'!$G$9="Yes",ROUND((-(SUM(F44:F47)*'Part VII-Pro Forma'!$K$9)),),"Choose mgt fee")))</f>
        <v>-187110</v>
      </c>
      <c r="G50" s="23">
        <f>IF(AND('Part VII-Pro Forma'!$G$8="Yes",'Part VII-Pro Forma'!$G$9="Yes"),"Choose One!",IF('Part VII-Pro Forma'!$G$8="Yes",ROUND((-$K$8*(1+'Part VII-Pro Forma'!$B$6)^('Part VII-Pro Forma'!G43-1)),),IF('Part VII-Pro Forma'!$G$9="Yes",ROUND((-(SUM(G44:G47)*'Part VII-Pro Forma'!$K$9)),),"Choose mgt fee")))</f>
        <v>-190852</v>
      </c>
      <c r="H50" s="23">
        <f>IF(AND('Part VII-Pro Forma'!$G$8="Yes",'Part VII-Pro Forma'!$G$9="Yes"),"Choose One!",IF('Part VII-Pro Forma'!$G$8="Yes",ROUND((-$K$8*(1+'Part VII-Pro Forma'!$B$6)^('Part VII-Pro Forma'!H43-1)),),IF('Part VII-Pro Forma'!$G$9="Yes",ROUND((-(SUM(H44:H47)*'Part VII-Pro Forma'!$K$9)),),"Choose mgt fee")))</f>
        <v>-194670</v>
      </c>
      <c r="I50" s="23">
        <f>IF(AND('Part VII-Pro Forma'!$G$8="Yes",'Part VII-Pro Forma'!$G$9="Yes"),"Choose One!",IF('Part VII-Pro Forma'!$G$8="Yes",ROUND((-$K$8*(1+'Part VII-Pro Forma'!$B$6)^('Part VII-Pro Forma'!I43-1)),),IF('Part VII-Pro Forma'!$G$9="Yes",ROUND((-(SUM(I44:I47)*'Part VII-Pro Forma'!$K$9)),),"Choose mgt fee")))</f>
        <v>-198563</v>
      </c>
      <c r="J50" s="23">
        <f>IF(AND('Part VII-Pro Forma'!$G$8="Yes",'Part VII-Pro Forma'!$G$9="Yes"),"Choose One!",IF('Part VII-Pro Forma'!$G$8="Yes",ROUND((-$K$8*(1+'Part VII-Pro Forma'!$B$6)^('Part VII-Pro Forma'!J43-1)),),IF('Part VII-Pro Forma'!$G$9="Yes",ROUND((-(SUM(J44:J47)*'Part VII-Pro Forma'!$K$9)),),"Choose mgt fee")))</f>
        <v>-202534</v>
      </c>
      <c r="K50" s="23">
        <f>IF(AND('Part VII-Pro Forma'!$G$8="Yes",'Part VII-Pro Forma'!$G$9="Yes"),"Choose One!",IF('Part VII-Pro Forma'!$G$8="Yes",ROUND((-$K$8*(1+'Part VII-Pro Forma'!$B$6)^('Part VII-Pro Forma'!K43-1)),),IF('Part VII-Pro Forma'!$G$9="Yes",ROUND((-(SUM(K44:K47)*'Part VII-Pro Forma'!$K$9)),),"Choose mgt fee")))</f>
        <v>-206585</v>
      </c>
      <c r="M50" s="2745"/>
      <c r="N50" s="2746"/>
    </row>
    <row r="51" spans="1:14" ht="13.15" customHeight="1">
      <c r="A51" s="22" t="s">
        <v>1247</v>
      </c>
      <c r="B51" s="23">
        <f t="shared" ref="B51:K51" si="20">$B$21*(1+$B$7)^(B43-1)</f>
        <v>-97837.112416252072</v>
      </c>
      <c r="C51" s="23">
        <f t="shared" si="20"/>
        <v>-100772.22578873963</v>
      </c>
      <c r="D51" s="23">
        <f t="shared" si="20"/>
        <v>-103795.3925624018</v>
      </c>
      <c r="E51" s="23">
        <f t="shared" si="20"/>
        <v>-106909.25433927386</v>
      </c>
      <c r="F51" s="23">
        <f t="shared" si="20"/>
        <v>-110116.53196945209</v>
      </c>
      <c r="G51" s="23">
        <f t="shared" si="20"/>
        <v>-113420.02792853565</v>
      </c>
      <c r="H51" s="23">
        <f t="shared" si="20"/>
        <v>-116822.6287663917</v>
      </c>
      <c r="I51" s="23">
        <f t="shared" si="20"/>
        <v>-120327.30762938345</v>
      </c>
      <c r="J51" s="23">
        <f t="shared" si="20"/>
        <v>-123937.12685826495</v>
      </c>
      <c r="K51" s="24">
        <f t="shared" si="20"/>
        <v>-127655.2406640129</v>
      </c>
      <c r="M51" s="2745"/>
      <c r="N51" s="2746"/>
    </row>
    <row r="52" spans="1:14" ht="13.15" customHeight="1">
      <c r="A52" s="22" t="s">
        <v>1248</v>
      </c>
      <c r="B52" s="23">
        <f t="shared" ref="B52:K52" si="21">SUM(B44:B51)</f>
        <v>722895.23921498307</v>
      </c>
      <c r="C52" s="23">
        <f t="shared" si="21"/>
        <v>717500.76246033504</v>
      </c>
      <c r="D52" s="23">
        <f t="shared" si="21"/>
        <v>711401.95812442701</v>
      </c>
      <c r="E52" s="23">
        <f t="shared" si="21"/>
        <v>704569.27231424616</v>
      </c>
      <c r="F52" s="23">
        <f t="shared" si="21"/>
        <v>696967.00403868197</v>
      </c>
      <c r="G52" s="23">
        <f t="shared" si="21"/>
        <v>688562.26618595026</v>
      </c>
      <c r="H52" s="23">
        <f t="shared" si="21"/>
        <v>679317.9452381602</v>
      </c>
      <c r="I52" s="23">
        <f t="shared" si="21"/>
        <v>669199.65968326875</v>
      </c>
      <c r="J52" s="23">
        <f t="shared" si="21"/>
        <v>658167.71708348836</v>
      </c>
      <c r="K52" s="24">
        <f t="shared" si="21"/>
        <v>646182.06975791021</v>
      </c>
      <c r="M52" s="2745"/>
      <c r="N52" s="2746"/>
    </row>
    <row r="53" spans="1:14" ht="13.15" customHeight="1">
      <c r="A53" s="22" t="str">
        <f>$A23</f>
        <v>Mortgage A</v>
      </c>
      <c r="B53" s="2886">
        <f>IF('Part III-Sources of Funds'!$N$37="", 0,-'Part III-Sources of Funds'!$N$37)</f>
        <v>-576755.08777726337</v>
      </c>
      <c r="C53" s="2886">
        <f>IF('Part III-Sources of Funds'!$N$37="", 0,-'Part III-Sources of Funds'!$N$37)</f>
        <v>-576755.08777726337</v>
      </c>
      <c r="D53" s="2886">
        <f>IF('Part III-Sources of Funds'!$N$37="", 0,-'Part III-Sources of Funds'!$N$37)</f>
        <v>-576755.08777726337</v>
      </c>
      <c r="E53" s="2886">
        <f>IF('Part III-Sources of Funds'!$N$37="", 0,-'Part III-Sources of Funds'!$N$37)</f>
        <v>-576755.08777726337</v>
      </c>
      <c r="F53" s="2886">
        <f>IF('Part III-Sources of Funds'!$N$37="", 0,-'Part III-Sources of Funds'!$N$37)</f>
        <v>-576755.08777726337</v>
      </c>
      <c r="G53" s="2886">
        <f>IF('Part III-Sources of Funds'!$N$37="", 0,-'Part III-Sources of Funds'!$N$37)</f>
        <v>-576755.08777726337</v>
      </c>
      <c r="H53" s="2886">
        <f>IF('Part III-Sources of Funds'!$N$37="", 0,-'Part III-Sources of Funds'!$N$37)</f>
        <v>-576755.08777726337</v>
      </c>
      <c r="I53" s="2886">
        <f>IF('Part III-Sources of Funds'!$N$37="", 0,-'Part III-Sources of Funds'!$N$37)</f>
        <v>-576755.08777726337</v>
      </c>
      <c r="J53" s="2886">
        <f>IF('Part III-Sources of Funds'!$N$37="", 0,-'Part III-Sources of Funds'!$N$37)</f>
        <v>-576755.08777726337</v>
      </c>
      <c r="K53" s="2886">
        <f>IF('Part III-Sources of Funds'!$N$37="", 0,-'Part III-Sources of Funds'!$N$37)</f>
        <v>-576755.08777726337</v>
      </c>
      <c r="M53" s="2745"/>
      <c r="N53" s="2746"/>
    </row>
    <row r="54" spans="1:14" ht="13.15" customHeight="1">
      <c r="A54" s="22" t="str">
        <f>$A24</f>
        <v>Mortgage B</v>
      </c>
      <c r="B54" s="2887">
        <f>IF('Part III-Sources of Funds'!$N$38="", 0,-'Part III-Sources of Funds'!$N$38)</f>
        <v>0</v>
      </c>
      <c r="C54" s="2887">
        <f>IF('Part III-Sources of Funds'!$N$38="", 0,-'Part III-Sources of Funds'!$N$38)</f>
        <v>0</v>
      </c>
      <c r="D54" s="2887">
        <f>IF('Part III-Sources of Funds'!$N$38="", 0,-'Part III-Sources of Funds'!$N$38)</f>
        <v>0</v>
      </c>
      <c r="E54" s="2887">
        <f>IF('Part III-Sources of Funds'!$N$38="", 0,-'Part III-Sources of Funds'!$N$38)</f>
        <v>0</v>
      </c>
      <c r="F54" s="2887">
        <f>IF('Part III-Sources of Funds'!$N$38="", 0,-'Part III-Sources of Funds'!$N$38)</f>
        <v>0</v>
      </c>
      <c r="G54" s="2887">
        <f>IF('Part III-Sources of Funds'!$N$38="", 0,-'Part III-Sources of Funds'!$N$38)</f>
        <v>0</v>
      </c>
      <c r="H54" s="2887">
        <f>IF('Part III-Sources of Funds'!$N$38="", 0,-'Part III-Sources of Funds'!$N$38)</f>
        <v>0</v>
      </c>
      <c r="I54" s="2887">
        <f>IF('Part III-Sources of Funds'!$N$38="", 0,-'Part III-Sources of Funds'!$N$38)</f>
        <v>0</v>
      </c>
      <c r="J54" s="2887">
        <f>IF('Part III-Sources of Funds'!$N$38="", 0,-'Part III-Sources of Funds'!$N$38)</f>
        <v>0</v>
      </c>
      <c r="K54" s="2887">
        <f>IF('Part III-Sources of Funds'!$N$38="", 0,-'Part III-Sources of Funds'!$N$38)</f>
        <v>0</v>
      </c>
      <c r="M54" s="2745"/>
      <c r="N54" s="2746"/>
    </row>
    <row r="55" spans="1:14" ht="13.15" customHeight="1">
      <c r="A55" s="22" t="str">
        <f>$A25</f>
        <v>Mortgage C</v>
      </c>
      <c r="B55" s="2887">
        <f>IF('Part III-Sources of Funds'!$N$39="", 0,-'Part III-Sources of Funds'!$N$39)</f>
        <v>0</v>
      </c>
      <c r="C55" s="2887">
        <f>IF('Part III-Sources of Funds'!$N$39="", 0,-'Part III-Sources of Funds'!$N$39)</f>
        <v>0</v>
      </c>
      <c r="D55" s="2887">
        <f>IF('Part III-Sources of Funds'!$N$39="", 0,-'Part III-Sources of Funds'!$N$39)</f>
        <v>0</v>
      </c>
      <c r="E55" s="2887">
        <f>IF('Part III-Sources of Funds'!$N$39="", 0,-'Part III-Sources of Funds'!$N$39)</f>
        <v>0</v>
      </c>
      <c r="F55" s="2887">
        <f>IF('Part III-Sources of Funds'!$N$39="", 0,-'Part III-Sources of Funds'!$N$39)</f>
        <v>0</v>
      </c>
      <c r="G55" s="2887">
        <f>IF('Part III-Sources of Funds'!$N$39="", 0,-'Part III-Sources of Funds'!$N$39)</f>
        <v>0</v>
      </c>
      <c r="H55" s="2887">
        <f>IF('Part III-Sources of Funds'!$N$39="", 0,-'Part III-Sources of Funds'!$N$39)</f>
        <v>0</v>
      </c>
      <c r="I55" s="2887">
        <f>IF('Part III-Sources of Funds'!$N$39="", 0,-'Part III-Sources of Funds'!$N$39)</f>
        <v>0</v>
      </c>
      <c r="J55" s="2887">
        <f>IF('Part III-Sources of Funds'!$N$39="", 0,-'Part III-Sources of Funds'!$N$39)</f>
        <v>0</v>
      </c>
      <c r="K55" s="2887">
        <f>IF('Part III-Sources of Funds'!$N$39="", 0,-'Part III-Sources of Funds'!$N$39)</f>
        <v>0</v>
      </c>
      <c r="M55" s="2745"/>
      <c r="N55" s="2746"/>
    </row>
    <row r="56" spans="1:14" ht="13.15" customHeight="1">
      <c r="A56" s="22" t="str">
        <f>$A26</f>
        <v>D/S Other Source</v>
      </c>
      <c r="B56" s="2887">
        <f>IF('Part III-Sources of Funds'!$N$40="", 0,-'Part III-Sources of Funds'!$N$40)</f>
        <v>0</v>
      </c>
      <c r="C56" s="2887">
        <f>IF('Part III-Sources of Funds'!$N$40="", 0,-'Part III-Sources of Funds'!$N$40)</f>
        <v>0</v>
      </c>
      <c r="D56" s="2887">
        <f>IF('Part III-Sources of Funds'!$N$40="", 0,-'Part III-Sources of Funds'!$N$40)</f>
        <v>0</v>
      </c>
      <c r="E56" s="2887">
        <f>IF('Part III-Sources of Funds'!$N$40="", 0,-'Part III-Sources of Funds'!$N$40)</f>
        <v>0</v>
      </c>
      <c r="F56" s="2887">
        <f>IF('Part III-Sources of Funds'!$N$40="", 0,-'Part III-Sources of Funds'!$N$40)</f>
        <v>0</v>
      </c>
      <c r="G56" s="2887">
        <f>IF('Part III-Sources of Funds'!$N$40="", 0,-'Part III-Sources of Funds'!$N$40)</f>
        <v>0</v>
      </c>
      <c r="H56" s="2887">
        <f>IF('Part III-Sources of Funds'!$N$40="", 0,-'Part III-Sources of Funds'!$N$40)</f>
        <v>0</v>
      </c>
      <c r="I56" s="2887">
        <f>IF('Part III-Sources of Funds'!$N$40="", 0,-'Part III-Sources of Funds'!$N$40)</f>
        <v>0</v>
      </c>
      <c r="J56" s="2887">
        <f>IF('Part III-Sources of Funds'!$N$40="", 0,-'Part III-Sources of Funds'!$N$40)</f>
        <v>0</v>
      </c>
      <c r="K56" s="2887">
        <f>IF('Part III-Sources of Funds'!$N$40="", 0,-'Part III-Sources of Funds'!$N$40)</f>
        <v>0</v>
      </c>
      <c r="M56" s="2745"/>
      <c r="N56" s="2746"/>
    </row>
    <row r="57" spans="1:14" ht="13.15" customHeight="1">
      <c r="A57" s="22" t="s">
        <v>794</v>
      </c>
      <c r="B57" s="2888"/>
      <c r="C57" s="2888"/>
      <c r="D57" s="2888"/>
      <c r="E57" s="2888"/>
      <c r="F57" s="2888"/>
      <c r="G57" s="2888"/>
      <c r="H57" s="2888"/>
      <c r="I57" s="2888"/>
      <c r="J57" s="2888"/>
      <c r="K57" s="2888"/>
      <c r="M57" s="2745"/>
      <c r="N57" s="2746"/>
    </row>
    <row r="58" spans="1:14" ht="13.15" customHeight="1">
      <c r="A58" s="22" t="s">
        <v>1206</v>
      </c>
      <c r="B58" s="2887">
        <f>+K28</f>
        <v>-18750</v>
      </c>
      <c r="C58" s="2887">
        <f t="shared" ref="C58:K58" si="22">+B58</f>
        <v>-18750</v>
      </c>
      <c r="D58" s="2887">
        <f t="shared" si="22"/>
        <v>-18750</v>
      </c>
      <c r="E58" s="2887">
        <f t="shared" si="22"/>
        <v>-18750</v>
      </c>
      <c r="F58" s="2887">
        <f t="shared" si="22"/>
        <v>-18750</v>
      </c>
      <c r="G58" s="2887">
        <f t="shared" si="22"/>
        <v>-18750</v>
      </c>
      <c r="H58" s="2887">
        <f t="shared" si="22"/>
        <v>-18750</v>
      </c>
      <c r="I58" s="2887">
        <f t="shared" si="22"/>
        <v>-18750</v>
      </c>
      <c r="J58" s="2887">
        <f t="shared" si="22"/>
        <v>-18750</v>
      </c>
      <c r="K58" s="2887">
        <f t="shared" si="22"/>
        <v>-18750</v>
      </c>
      <c r="M58" s="2745"/>
      <c r="N58" s="2746"/>
    </row>
    <row r="59" spans="1:14" ht="13.15" customHeight="1">
      <c r="A59" s="22" t="s">
        <v>1249</v>
      </c>
      <c r="B59" s="2889">
        <f>IF('Part III-Sources of Funds'!$N$42="", 0,-'Part III-Sources of Funds'!$N$42)</f>
        <v>0</v>
      </c>
      <c r="C59" s="2889">
        <f>IF('Part III-Sources of Funds'!$N$42="", 0,-'Part III-Sources of Funds'!$N$42)</f>
        <v>0</v>
      </c>
      <c r="D59" s="2889">
        <f>IF('Part III-Sources of Funds'!$N$42="", 0,-'Part III-Sources of Funds'!$N$42)</f>
        <v>0</v>
      </c>
      <c r="E59" s="2889">
        <f>IF('Part III-Sources of Funds'!$N$42="", 0,-'Part III-Sources of Funds'!$N$42)</f>
        <v>0</v>
      </c>
      <c r="F59" s="2889">
        <f>IF('Part III-Sources of Funds'!$N$42="", 0,-'Part III-Sources of Funds'!$N$42)</f>
        <v>0</v>
      </c>
      <c r="G59" s="2889">
        <f>IF('Part III-Sources of Funds'!$N$42="", 0,-'Part III-Sources of Funds'!$N$42)</f>
        <v>0</v>
      </c>
      <c r="H59" s="2889">
        <f>IF('Part III-Sources of Funds'!$N$42="", 0,-'Part III-Sources of Funds'!$N$42)</f>
        <v>0</v>
      </c>
      <c r="I59" s="2889">
        <f>IF('Part III-Sources of Funds'!$N$42="", 0,-'Part III-Sources of Funds'!$N$42)</f>
        <v>0</v>
      </c>
      <c r="J59" s="2889">
        <f>IF('Part III-Sources of Funds'!$N$42="", 0,-'Part III-Sources of Funds'!$N$42)</f>
        <v>0</v>
      </c>
      <c r="K59" s="2887">
        <f>IF('Part III-Sources of Funds'!$N$42="", 0,-'Part III-Sources of Funds'!$N$42)</f>
        <v>0</v>
      </c>
      <c r="M59" s="2745"/>
      <c r="N59" s="2746"/>
    </row>
    <row r="60" spans="1:14" ht="13.15" customHeight="1">
      <c r="A60" s="22" t="s">
        <v>1207</v>
      </c>
      <c r="B60" s="23">
        <f t="shared" ref="B60:K60" si="23">SUM(B52:B59)</f>
        <v>127390.1514377197</v>
      </c>
      <c r="C60" s="23">
        <f t="shared" si="23"/>
        <v>121995.67468307167</v>
      </c>
      <c r="D60" s="23">
        <f t="shared" si="23"/>
        <v>115896.87034716364</v>
      </c>
      <c r="E60" s="23">
        <f t="shared" si="23"/>
        <v>109064.18453698279</v>
      </c>
      <c r="F60" s="23">
        <f t="shared" si="23"/>
        <v>101461.91626141861</v>
      </c>
      <c r="G60" s="23">
        <f t="shared" si="23"/>
        <v>93057.178408686887</v>
      </c>
      <c r="H60" s="23">
        <f t="shared" si="23"/>
        <v>83812.857460896834</v>
      </c>
      <c r="I60" s="23">
        <f t="shared" si="23"/>
        <v>73694.571906005382</v>
      </c>
      <c r="J60" s="23">
        <f t="shared" si="23"/>
        <v>62662.62930622499</v>
      </c>
      <c r="K60" s="21">
        <f t="shared" si="23"/>
        <v>50676.981980646844</v>
      </c>
      <c r="M60" s="2745"/>
      <c r="N60" s="2746"/>
    </row>
    <row r="61" spans="1:14" ht="13.15" customHeight="1">
      <c r="A61" s="22" t="str">
        <f>$A31</f>
        <v>DCR Mortgage A</v>
      </c>
      <c r="B61" s="25">
        <f>IF(B53=0,"",-B52/B53)</f>
        <v>1.2533833762974234</v>
      </c>
      <c r="C61" s="25">
        <f t="shared" ref="C61:K61" si="24">IF(C53=0,"",-C52/C53)</f>
        <v>1.2440302264614371</v>
      </c>
      <c r="D61" s="25">
        <f t="shared" si="24"/>
        <v>1.2334558865636966</v>
      </c>
      <c r="E61" s="25">
        <f t="shared" si="24"/>
        <v>1.2216091149357027</v>
      </c>
      <c r="F61" s="25">
        <f t="shared" si="24"/>
        <v>1.2084280118354902</v>
      </c>
      <c r="G61" s="25">
        <f t="shared" si="24"/>
        <v>1.1938555563325444</v>
      </c>
      <c r="H61" s="25">
        <f t="shared" si="24"/>
        <v>1.1778273995920181</v>
      </c>
      <c r="I61" s="25">
        <f t="shared" si="24"/>
        <v>1.1602839296351495</v>
      </c>
      <c r="J61" s="25">
        <f t="shared" si="24"/>
        <v>1.1411563261972744</v>
      </c>
      <c r="K61" s="26">
        <f t="shared" si="24"/>
        <v>1.1203751530796358</v>
      </c>
      <c r="M61" s="2745"/>
      <c r="N61" s="2746"/>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745"/>
      <c r="N62" s="2746"/>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745"/>
      <c r="N63" s="2746"/>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745"/>
      <c r="N64" s="2746"/>
    </row>
    <row r="65" spans="1:14" ht="13.15" customHeight="1">
      <c r="A65" s="472" t="s">
        <v>4200</v>
      </c>
      <c r="B65" s="25">
        <f>IF(AND(B53=0,B54=0,B55=0,B56=0),"",-B52/(B53+B54+B55+B56))</f>
        <v>1.2533833762974234</v>
      </c>
      <c r="C65" s="25">
        <f t="shared" ref="C65:K65" si="28">IF(AND(C53=0,C54=0,C55=0,C56=0),"",-C52/(C53+C54+C55+C56))</f>
        <v>1.2440302264614371</v>
      </c>
      <c r="D65" s="25">
        <f t="shared" si="28"/>
        <v>1.2334558865636966</v>
      </c>
      <c r="E65" s="25">
        <f t="shared" si="28"/>
        <v>1.2216091149357027</v>
      </c>
      <c r="F65" s="25">
        <f t="shared" si="28"/>
        <v>1.2084280118354902</v>
      </c>
      <c r="G65" s="25">
        <f t="shared" si="28"/>
        <v>1.1938555563325444</v>
      </c>
      <c r="H65" s="25">
        <f t="shared" si="28"/>
        <v>1.1778273995920181</v>
      </c>
      <c r="I65" s="25">
        <f t="shared" si="28"/>
        <v>1.1602839296351495</v>
      </c>
      <c r="J65" s="25">
        <f t="shared" si="28"/>
        <v>1.1411563261972744</v>
      </c>
      <c r="K65" s="26">
        <f t="shared" si="28"/>
        <v>1.1203751530796358</v>
      </c>
      <c r="M65" s="2745"/>
      <c r="N65" s="2746"/>
    </row>
    <row r="66" spans="1:14" ht="13.15" customHeight="1">
      <c r="A66" s="22" t="s">
        <v>801</v>
      </c>
      <c r="B66" s="293">
        <f>IF(OR(B50="Choose mgt fee",B50="Choose One!"),"",(B44+B45+B46+B47+B48) / -(B49+B50+B51))</f>
        <v>1.3349650866034033</v>
      </c>
      <c r="C66" s="293">
        <f t="shared" ref="C66:K66" si="29">IF(OR(C50="Choose mgt fee",C50="Choose One!"),"",(C44+C45+C46+C47+C48) / -(C49+C50+C51))</f>
        <v>1.3230332477896352</v>
      </c>
      <c r="D66" s="293">
        <f t="shared" si="29"/>
        <v>1.3111984361271602</v>
      </c>
      <c r="E66" s="293">
        <f t="shared" si="29"/>
        <v>1.2994613883015527</v>
      </c>
      <c r="F66" s="293">
        <f t="shared" si="29"/>
        <v>1.2878199984953984</v>
      </c>
      <c r="G66" s="293">
        <f t="shared" si="29"/>
        <v>1.2762744363146212</v>
      </c>
      <c r="H66" s="293">
        <f t="shared" si="29"/>
        <v>1.2648232935216499</v>
      </c>
      <c r="I66" s="293">
        <f t="shared" si="29"/>
        <v>1.2534671900794916</v>
      </c>
      <c r="J66" s="293">
        <f t="shared" si="29"/>
        <v>1.2422047517084138</v>
      </c>
      <c r="K66" s="294">
        <f t="shared" si="29"/>
        <v>1.2310351646025228</v>
      </c>
      <c r="M66" s="2745"/>
      <c r="N66" s="2746"/>
    </row>
    <row r="67" spans="1:14" ht="13.15" customHeight="1">
      <c r="A67" s="472" t="s">
        <v>2705</v>
      </c>
      <c r="B67" s="2890">
        <f>IF('Part III-Sources of Funds'!$I$37="","",-FV('Part III-Sources of Funds'!$K$37/12,12,B53/12,K37))</f>
        <v>9890030.5096435901</v>
      </c>
      <c r="C67" s="2890">
        <f>IF('Part III-Sources of Funds'!$I$37="","",-FV('Part III-Sources of Funds'!$K$37/12,12,C53/12,B67))</f>
        <v>9705518.3080581482</v>
      </c>
      <c r="D67" s="2890">
        <f>IF('Part III-Sources of Funds'!$I$37="","",-FV('Part III-Sources of Funds'!$K$37/12,12,D53/12,C67))</f>
        <v>9513488.794692589</v>
      </c>
      <c r="E67" s="2890">
        <f>IF('Part III-Sources of Funds'!$I$37="","",-FV('Part III-Sources of Funds'!$K$37/12,12,E53/12,D67))</f>
        <v>9313635.7026663795</v>
      </c>
      <c r="F67" s="2890">
        <f>IF('Part III-Sources of Funds'!$I$37="","",-FV('Part III-Sources of Funds'!$K$37/12,12,F53/12,E67))</f>
        <v>9105640.2873137314</v>
      </c>
      <c r="G67" s="2890">
        <f>IF('Part III-Sources of Funds'!$I$37="","",-FV('Part III-Sources of Funds'!$K$37/12,12,G53/12,F67))</f>
        <v>8889170.8178193737</v>
      </c>
      <c r="H67" s="2890">
        <f>IF('Part III-Sources of Funds'!$I$37="","",-FV('Part III-Sources of Funds'!$K$37/12,12,H53/12,G67))</f>
        <v>8663882.0481427871</v>
      </c>
      <c r="I67" s="2890">
        <f>IF('Part III-Sources of Funds'!$I$37="","",-FV('Part III-Sources of Funds'!$K$37/12,12,I53/12,H67))</f>
        <v>8429414.6663870756</v>
      </c>
      <c r="J67" s="2890">
        <f>IF('Part III-Sources of Funds'!$I$37="","",-FV('Part III-Sources of Funds'!$K$37/12,12,J53/12,I67))</f>
        <v>8185394.7217342714</v>
      </c>
      <c r="K67" s="2890">
        <f>IF('Part III-Sources of Funds'!$I$37="","",-FV('Part III-Sources of Funds'!$K$37/12,12,K53/12,J67))</f>
        <v>7931433.0280331103</v>
      </c>
      <c r="M67" s="2745"/>
      <c r="N67" s="2746"/>
    </row>
    <row r="68" spans="1:14" ht="13.15" customHeight="1">
      <c r="A68" s="472" t="s">
        <v>2706</v>
      </c>
      <c r="B68" s="2887" t="str">
        <f>IF('Part III-Sources of Funds'!$I$38="","",-FV('Part III-Sources of Funds'!$K$38/12,12,B54/12,K38))</f>
        <v/>
      </c>
      <c r="C68" s="2887" t="str">
        <f>IF('Part III-Sources of Funds'!$I$38="","",-FV('Part III-Sources of Funds'!$K$38/12,12,C54/12,B68))</f>
        <v/>
      </c>
      <c r="D68" s="2887" t="str">
        <f>IF('Part III-Sources of Funds'!$I$38="","",-FV('Part III-Sources of Funds'!$K$38/12,12,D54/12,C68))</f>
        <v/>
      </c>
      <c r="E68" s="2887" t="str">
        <f>IF('Part III-Sources of Funds'!$I$38="","",-FV('Part III-Sources of Funds'!$K$38/12,12,E54/12,D68))</f>
        <v/>
      </c>
      <c r="F68" s="2887" t="str">
        <f>IF('Part III-Sources of Funds'!$I$38="","",-FV('Part III-Sources of Funds'!$K$38/12,12,F54/12,E68))</f>
        <v/>
      </c>
      <c r="G68" s="2887" t="str">
        <f>IF('Part III-Sources of Funds'!$I$38="","",-FV('Part III-Sources of Funds'!$K$38/12,12,G54/12,F68))</f>
        <v/>
      </c>
      <c r="H68" s="2887" t="str">
        <f>IF('Part III-Sources of Funds'!$I$38="","",-FV('Part III-Sources of Funds'!$K$38/12,12,H54/12,G68))</f>
        <v/>
      </c>
      <c r="I68" s="2887" t="str">
        <f>IF('Part III-Sources of Funds'!$I$38="","",-FV('Part III-Sources of Funds'!$K$38/12,12,I54/12,H68))</f>
        <v/>
      </c>
      <c r="J68" s="2887" t="str">
        <f>IF('Part III-Sources of Funds'!$I$38="","",-FV('Part III-Sources of Funds'!$K$38/12,12,J54/12,I68))</f>
        <v/>
      </c>
      <c r="K68" s="2887" t="str">
        <f>IF('Part III-Sources of Funds'!$I$38="","",-FV('Part III-Sources of Funds'!$K$38/12,12,K54/12,J68))</f>
        <v/>
      </c>
      <c r="M68" s="2745"/>
      <c r="N68" s="2746"/>
    </row>
    <row r="69" spans="1:14" ht="13.15" customHeight="1">
      <c r="A69" s="472" t="s">
        <v>2707</v>
      </c>
      <c r="B69" s="2887" t="str">
        <f>IF('Part III-Sources of Funds'!$I$39="","",-FV('Part III-Sources of Funds'!$K$39/12,12,B55/12,K39))</f>
        <v/>
      </c>
      <c r="C69" s="2887" t="str">
        <f>IF('Part III-Sources of Funds'!$I$39="","",-FV('Part III-Sources of Funds'!$K$39/12,12,C55/12,B69))</f>
        <v/>
      </c>
      <c r="D69" s="2887" t="str">
        <f>IF('Part III-Sources of Funds'!$I$39="","",-FV('Part III-Sources of Funds'!$K$39/12,12,D55/12,C69))</f>
        <v/>
      </c>
      <c r="E69" s="2887" t="str">
        <f>IF('Part III-Sources of Funds'!$I$39="","",-FV('Part III-Sources of Funds'!$K$39/12,12,E55/12,D69))</f>
        <v/>
      </c>
      <c r="F69" s="2887" t="str">
        <f>IF('Part III-Sources of Funds'!$I$39="","",-FV('Part III-Sources of Funds'!$K$39/12,12,F55/12,E69))</f>
        <v/>
      </c>
      <c r="G69" s="2887" t="str">
        <f>IF('Part III-Sources of Funds'!$I$39="","",-FV('Part III-Sources of Funds'!$K$39/12,12,G55/12,F69))</f>
        <v/>
      </c>
      <c r="H69" s="2887" t="str">
        <f>IF('Part III-Sources of Funds'!$I$39="","",-FV('Part III-Sources of Funds'!$K$39/12,12,H55/12,G69))</f>
        <v/>
      </c>
      <c r="I69" s="2887" t="str">
        <f>IF('Part III-Sources of Funds'!$I$39="","",-FV('Part III-Sources of Funds'!$K$39/12,12,I55/12,H69))</f>
        <v/>
      </c>
      <c r="J69" s="2887" t="str">
        <f>IF('Part III-Sources of Funds'!$I$39="","",-FV('Part III-Sources of Funds'!$K$39/12,12,J55/12,I69))</f>
        <v/>
      </c>
      <c r="K69" s="2887" t="str">
        <f>IF('Part III-Sources of Funds'!$I$39="","",-FV('Part III-Sources of Funds'!$K$39/12,12,K55/12,J69))</f>
        <v/>
      </c>
      <c r="M69" s="2745"/>
      <c r="N69" s="2746"/>
    </row>
    <row r="70" spans="1:14" ht="13.15" customHeight="1">
      <c r="A70" s="22" t="s">
        <v>816</v>
      </c>
      <c r="B70" s="2887" t="str">
        <f>IF('Part III-Sources of Funds'!$I$40="","",-FV('Part III-Sources of Funds'!$K$40/12,12,B56/12,K40))</f>
        <v/>
      </c>
      <c r="C70" s="2887" t="str">
        <f>IF('Part III-Sources of Funds'!$I$40="","",-FV('Part III-Sources of Funds'!$K$40/12,12,C56/12,B70))</f>
        <v/>
      </c>
      <c r="D70" s="2887" t="str">
        <f>IF('Part III-Sources of Funds'!$I$40="","",-FV('Part III-Sources of Funds'!$K$40/12,12,D56/12,C70))</f>
        <v/>
      </c>
      <c r="E70" s="2887" t="str">
        <f>IF('Part III-Sources of Funds'!$I$40="","",-FV('Part III-Sources of Funds'!$K$40/12,12,E56/12,D70))</f>
        <v/>
      </c>
      <c r="F70" s="2887" t="str">
        <f>IF('Part III-Sources of Funds'!$I$40="","",-FV('Part III-Sources of Funds'!$K$40/12,12,F56/12,E70))</f>
        <v/>
      </c>
      <c r="G70" s="2887" t="str">
        <f>IF('Part III-Sources of Funds'!$I$40="","",-FV('Part III-Sources of Funds'!$K$40/12,12,G56/12,F70))</f>
        <v/>
      </c>
      <c r="H70" s="2887" t="str">
        <f>IF('Part III-Sources of Funds'!$I$40="","",-FV('Part III-Sources of Funds'!$K$40/12,12,H56/12,G70))</f>
        <v/>
      </c>
      <c r="I70" s="2887" t="str">
        <f>IF('Part III-Sources of Funds'!$I$40="","",-FV('Part III-Sources of Funds'!$K$40/12,12,I56/12,H70))</f>
        <v/>
      </c>
      <c r="J70" s="2887" t="str">
        <f>IF('Part III-Sources of Funds'!$I$40="","",-FV('Part III-Sources of Funds'!$K$40/12,12,J56/12,I70))</f>
        <v/>
      </c>
      <c r="K70" s="2887" t="str">
        <f>IF('Part III-Sources of Funds'!$I$40="","",-FV('Part III-Sources of Funds'!$K$40/12,12,K56/12,J70))</f>
        <v/>
      </c>
      <c r="M70" s="2745"/>
      <c r="N70" s="2746"/>
    </row>
    <row r="71" spans="1:14" ht="13.15" customHeight="1">
      <c r="A71" s="27" t="s">
        <v>1284</v>
      </c>
      <c r="B71" s="2889">
        <f>IF('Part III-Sources of Funds'!$I$42="","",-FV('Part III-Sources of Funds'!$K$42/12,12,B59/12,K41))</f>
        <v>0</v>
      </c>
      <c r="C71" s="2889">
        <f>IF('Part III-Sources of Funds'!$I$42="","",-FV('Part III-Sources of Funds'!$K$42/12,12,C59/12,B71))</f>
        <v>0</v>
      </c>
      <c r="D71" s="2889">
        <f>IF('Part III-Sources of Funds'!$I$42="","",-FV('Part III-Sources of Funds'!$K$42/12,12,D59/12,C71))</f>
        <v>0</v>
      </c>
      <c r="E71" s="2889">
        <f>IF('Part III-Sources of Funds'!$I$42="","",-FV('Part III-Sources of Funds'!$K$42/12,12,E59/12,D71))</f>
        <v>0</v>
      </c>
      <c r="F71" s="2889">
        <f>IF('Part III-Sources of Funds'!$I$42="","",-FV('Part III-Sources of Funds'!$K$42/12,12,F59/12,E71))</f>
        <v>0</v>
      </c>
      <c r="G71" s="2889">
        <f>IF('Part III-Sources of Funds'!$I$42="","",-FV('Part III-Sources of Funds'!$K$42/12,12,G59/12,F71))</f>
        <v>0</v>
      </c>
      <c r="H71" s="2889">
        <f>IF('Part III-Sources of Funds'!$I$42="","",-FV('Part III-Sources of Funds'!$K$42/12,12,H59/12,G71))</f>
        <v>0</v>
      </c>
      <c r="I71" s="2889">
        <f>IF('Part III-Sources of Funds'!$I$42="","",-FV('Part III-Sources of Funds'!$K$42/12,12,I59/12,H71))</f>
        <v>0</v>
      </c>
      <c r="J71" s="2889">
        <f>IF('Part III-Sources of Funds'!$I$42="","",-FV('Part III-Sources of Funds'!$K$42/12,12,J59/12,I71))</f>
        <v>0</v>
      </c>
      <c r="K71" s="2889">
        <f>IF('Part III-Sources of Funds'!$I$42="","",-FV('Part III-Sources of Funds'!$K$42/12,12,K59/12,J71))</f>
        <v>0</v>
      </c>
      <c r="M71" s="2748"/>
      <c r="N71" s="2749"/>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938" t="s">
        <v>2711</v>
      </c>
      <c r="N73" s="1938"/>
    </row>
    <row r="74" spans="1:14" ht="13.15" customHeight="1">
      <c r="A74" s="19" t="s">
        <v>2489</v>
      </c>
      <c r="B74" s="20">
        <f t="shared" ref="B74:K74" si="31">$B$14*(1+$B$5)^(B73-1)</f>
        <v>3702237.9370800694</v>
      </c>
      <c r="C74" s="20">
        <f t="shared" si="31"/>
        <v>3776282.6958216708</v>
      </c>
      <c r="D74" s="20">
        <f t="shared" si="31"/>
        <v>3851808.3497381043</v>
      </c>
      <c r="E74" s="20">
        <f t="shared" si="31"/>
        <v>3928844.5167328655</v>
      </c>
      <c r="F74" s="20">
        <f t="shared" si="31"/>
        <v>4007421.4070675233</v>
      </c>
      <c r="G74" s="20">
        <f t="shared" si="31"/>
        <v>4087569.8352088737</v>
      </c>
      <c r="H74" s="20">
        <f t="shared" si="31"/>
        <v>4169321.2319130516</v>
      </c>
      <c r="I74" s="20">
        <f t="shared" si="31"/>
        <v>4252707.6565513117</v>
      </c>
      <c r="J74" s="20">
        <f t="shared" si="31"/>
        <v>4337761.8096823394</v>
      </c>
      <c r="K74" s="21">
        <f t="shared" si="31"/>
        <v>4424517.0458759852</v>
      </c>
      <c r="M74" s="2743"/>
      <c r="N74" s="2744"/>
    </row>
    <row r="75" spans="1:14" ht="13.15" customHeight="1">
      <c r="A75" s="22" t="s">
        <v>1053</v>
      </c>
      <c r="B75" s="23">
        <f t="shared" ref="B75:K75" si="32">$B$15*(1+$B$5)^(B73-1)</f>
        <v>74044.758741601385</v>
      </c>
      <c r="C75" s="23">
        <f t="shared" si="32"/>
        <v>75525.65391643341</v>
      </c>
      <c r="D75" s="23">
        <f t="shared" si="32"/>
        <v>77036.166994762083</v>
      </c>
      <c r="E75" s="23">
        <f t="shared" si="32"/>
        <v>78576.890334657321</v>
      </c>
      <c r="F75" s="23">
        <f t="shared" si="32"/>
        <v>80148.428141350465</v>
      </c>
      <c r="G75" s="23">
        <f t="shared" si="32"/>
        <v>81751.396704177474</v>
      </c>
      <c r="H75" s="23">
        <f t="shared" si="32"/>
        <v>83386.424638261029</v>
      </c>
      <c r="I75" s="23">
        <f t="shared" si="32"/>
        <v>85054.153131026236</v>
      </c>
      <c r="J75" s="23">
        <f t="shared" si="32"/>
        <v>86755.236193646779</v>
      </c>
      <c r="K75" s="24">
        <f t="shared" si="32"/>
        <v>88490.340917519701</v>
      </c>
      <c r="M75" s="2745"/>
      <c r="N75" s="2746"/>
    </row>
    <row r="76" spans="1:14" ht="13.15" customHeight="1">
      <c r="A76" s="22" t="s">
        <v>2490</v>
      </c>
      <c r="B76" s="23">
        <f t="shared" ref="B76:K76" si="33">-(B74+B75)*$B$8</f>
        <v>-264339.78870751697</v>
      </c>
      <c r="C76" s="23">
        <f t="shared" si="33"/>
        <v>-269626.58448166732</v>
      </c>
      <c r="D76" s="23">
        <f t="shared" si="33"/>
        <v>-275019.1161713007</v>
      </c>
      <c r="E76" s="23">
        <f t="shared" si="33"/>
        <v>-280519.49849472661</v>
      </c>
      <c r="F76" s="23">
        <f t="shared" si="33"/>
        <v>-286129.88846462121</v>
      </c>
      <c r="G76" s="23">
        <f t="shared" si="33"/>
        <v>-291852.48623391363</v>
      </c>
      <c r="H76" s="23">
        <f t="shared" si="33"/>
        <v>-297689.53595859191</v>
      </c>
      <c r="I76" s="23">
        <f t="shared" si="33"/>
        <v>-303643.32667776366</v>
      </c>
      <c r="J76" s="23">
        <f t="shared" si="33"/>
        <v>-309716.19321131904</v>
      </c>
      <c r="K76" s="24">
        <f t="shared" si="33"/>
        <v>-315910.51707554533</v>
      </c>
      <c r="M76" s="2745"/>
      <c r="N76" s="2746"/>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745"/>
      <c r="N77" s="2746"/>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745"/>
      <c r="N78" s="2746"/>
    </row>
    <row r="79" spans="1:14" ht="13.15" customHeight="1">
      <c r="A79" s="22" t="s">
        <v>638</v>
      </c>
      <c r="B79" s="23">
        <f t="shared" ref="B79:K79" si="34">$B$19*(1+$B$6)^(B73-1)</f>
        <v>-2536538.7401944175</v>
      </c>
      <c r="C79" s="23">
        <f t="shared" si="34"/>
        <v>-2612634.9024002496</v>
      </c>
      <c r="D79" s="23">
        <f t="shared" si="34"/>
        <v>-2691013.9494722574</v>
      </c>
      <c r="E79" s="23">
        <f t="shared" si="34"/>
        <v>-2771744.3679564251</v>
      </c>
      <c r="F79" s="23">
        <f t="shared" si="34"/>
        <v>-2854896.6989951176</v>
      </c>
      <c r="G79" s="23">
        <f t="shared" si="34"/>
        <v>-2940543.5999649712</v>
      </c>
      <c r="H79" s="23">
        <f t="shared" si="34"/>
        <v>-3028759.9079639204</v>
      </c>
      <c r="I79" s="23">
        <f t="shared" si="34"/>
        <v>-3119622.7052028379</v>
      </c>
      <c r="J79" s="23">
        <f t="shared" si="34"/>
        <v>-3213211.3863589228</v>
      </c>
      <c r="K79" s="24">
        <f t="shared" si="34"/>
        <v>-3309607.7279496901</v>
      </c>
      <c r="M79" s="2745"/>
      <c r="N79" s="2746"/>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-210717</v>
      </c>
      <c r="C80" s="23">
        <f>IF(AND('Part VII-Pro Forma'!$G$8="Yes",'Part VII-Pro Forma'!$G$9="Yes"),"Choose One!",IF('Part VII-Pro Forma'!$G$8="Yes",ROUND((-$K$8*(1+'Part VII-Pro Forma'!$B$6)^('Part VII-Pro Forma'!C73-1)),),IF('Part VII-Pro Forma'!$G$9="Yes",ROUND((-(SUM(C74:C77)*'Part VII-Pro Forma'!$K$9)),),"Choose mgt fee")))</f>
        <v>-214931</v>
      </c>
      <c r="D80" s="23">
        <f>IF(AND('Part VII-Pro Forma'!$G$8="Yes",'Part VII-Pro Forma'!$G$9="Yes"),"Choose One!",IF('Part VII-Pro Forma'!$G$8="Yes",ROUND((-$K$8*(1+'Part VII-Pro Forma'!$B$6)^('Part VII-Pro Forma'!D73-1)),),IF('Part VII-Pro Forma'!$G$9="Yes",ROUND((-(SUM(D74:D77)*'Part VII-Pro Forma'!$K$9)),),"Choose mgt fee")))</f>
        <v>-219230</v>
      </c>
      <c r="E80" s="23">
        <f>IF(AND('Part VII-Pro Forma'!$G$8="Yes",'Part VII-Pro Forma'!$G$9="Yes"),"Choose One!",IF('Part VII-Pro Forma'!$G$8="Yes",ROUND((-$K$8*(1+'Part VII-Pro Forma'!$B$6)^('Part VII-Pro Forma'!E73-1)),),IF('Part VII-Pro Forma'!$G$9="Yes",ROUND((-(SUM(E74:E77)*'Part VII-Pro Forma'!$K$9)),),"Choose mgt fee")))</f>
        <v>-223614</v>
      </c>
      <c r="F80" s="23">
        <f>IF(AND('Part VII-Pro Forma'!$G$8="Yes",'Part VII-Pro Forma'!$G$9="Yes"),"Choose One!",IF('Part VII-Pro Forma'!$G$8="Yes",ROUND((-$K$8*(1+'Part VII-Pro Forma'!$B$6)^('Part VII-Pro Forma'!F73-1)),),IF('Part VII-Pro Forma'!$G$9="Yes",ROUND((-(SUM(F74:F77)*'Part VII-Pro Forma'!$K$9)),),"Choose mgt fee")))</f>
        <v>-228086</v>
      </c>
      <c r="G80" s="23">
        <f>IF(AND('Part VII-Pro Forma'!$G$8="Yes",'Part VII-Pro Forma'!$G$9="Yes"),"Choose One!",IF('Part VII-Pro Forma'!$G$8="Yes",ROUND((-$K$8*(1+'Part VII-Pro Forma'!$B$6)^('Part VII-Pro Forma'!G73-1)),),IF('Part VII-Pro Forma'!$G$9="Yes",ROUND((-(SUM(G74:G77)*'Part VII-Pro Forma'!$K$9)),),"Choose mgt fee")))</f>
        <v>-232648</v>
      </c>
      <c r="H80" s="23">
        <f>IF(AND('Part VII-Pro Forma'!$G$8="Yes",'Part VII-Pro Forma'!$G$9="Yes"),"Choose One!",IF('Part VII-Pro Forma'!$G$8="Yes",ROUND((-$K$8*(1+'Part VII-Pro Forma'!$B$6)^('Part VII-Pro Forma'!H73-1)),),IF('Part VII-Pro Forma'!$G$9="Yes",ROUND((-(SUM(H74:H77)*'Part VII-Pro Forma'!$K$9)),),"Choose mgt fee")))</f>
        <v>-237301</v>
      </c>
      <c r="I80" s="23">
        <f>IF(AND('Part VII-Pro Forma'!$G$8="Yes",'Part VII-Pro Forma'!$G$9="Yes"),"Choose One!",IF('Part VII-Pro Forma'!$G$8="Yes",ROUND((-$K$8*(1+'Part VII-Pro Forma'!$B$6)^('Part VII-Pro Forma'!I73-1)),),IF('Part VII-Pro Forma'!$G$9="Yes",ROUND((-(SUM(I74:I77)*'Part VII-Pro Forma'!$K$9)),),"Choose mgt fee")))</f>
        <v>-242047</v>
      </c>
      <c r="J80" s="23">
        <f>IF(AND('Part VII-Pro Forma'!$G$8="Yes",'Part VII-Pro Forma'!$G$9="Yes"),"Choose One!",IF('Part VII-Pro Forma'!$G$8="Yes",ROUND((-$K$8*(1+'Part VII-Pro Forma'!$B$6)^('Part VII-Pro Forma'!J73-1)),),IF('Part VII-Pro Forma'!$G$9="Yes",ROUND((-(SUM(J74:J77)*'Part VII-Pro Forma'!$K$9)),),"Choose mgt fee")))</f>
        <v>-246888</v>
      </c>
      <c r="K80" s="23">
        <f>IF(AND('Part VII-Pro Forma'!$G$8="Yes",'Part VII-Pro Forma'!$G$9="Yes"),"Choose One!",IF('Part VII-Pro Forma'!$G$8="Yes",ROUND((-$K$8*(1+'Part VII-Pro Forma'!$B$6)^('Part VII-Pro Forma'!K73-1)),),IF('Part VII-Pro Forma'!$G$9="Yes",ROUND((-(SUM(K74:K77)*'Part VII-Pro Forma'!$K$9)),),"Choose mgt fee")))</f>
        <v>-251826</v>
      </c>
      <c r="M80" s="2745"/>
      <c r="N80" s="2746"/>
    </row>
    <row r="81" spans="1:14" ht="13.15" customHeight="1">
      <c r="A81" s="22" t="s">
        <v>1247</v>
      </c>
      <c r="B81" s="23">
        <f t="shared" ref="B81:K81" si="35">$B$21*(1+$B$7)^(B73-1)</f>
        <v>-131484.8978839333</v>
      </c>
      <c r="C81" s="23">
        <f t="shared" si="35"/>
        <v>-135429.44482045126</v>
      </c>
      <c r="D81" s="23">
        <f t="shared" si="35"/>
        <v>-139492.32816506483</v>
      </c>
      <c r="E81" s="23">
        <f t="shared" si="35"/>
        <v>-143677.09801001678</v>
      </c>
      <c r="F81" s="23">
        <f t="shared" si="35"/>
        <v>-147987.41095031725</v>
      </c>
      <c r="G81" s="23">
        <f t="shared" si="35"/>
        <v>-152427.03327882677</v>
      </c>
      <c r="H81" s="23">
        <f t="shared" si="35"/>
        <v>-156999.84427719159</v>
      </c>
      <c r="I81" s="23">
        <f t="shared" si="35"/>
        <v>-161709.83960550732</v>
      </c>
      <c r="J81" s="23">
        <f t="shared" si="35"/>
        <v>-166561.13479367254</v>
      </c>
      <c r="K81" s="24">
        <f t="shared" si="35"/>
        <v>-171557.96883748271</v>
      </c>
      <c r="M81" s="2745"/>
      <c r="N81" s="2746"/>
    </row>
    <row r="82" spans="1:14" ht="13.15" customHeight="1">
      <c r="A82" s="22" t="s">
        <v>1248</v>
      </c>
      <c r="B82" s="23">
        <f t="shared" ref="B82:K82" si="36">SUM(B74:B81)</f>
        <v>633202.26903580292</v>
      </c>
      <c r="C82" s="23">
        <f t="shared" si="36"/>
        <v>619186.41803573607</v>
      </c>
      <c r="D82" s="23">
        <f t="shared" si="36"/>
        <v>604089.12292424333</v>
      </c>
      <c r="E82" s="23">
        <f t="shared" si="36"/>
        <v>587866.44260635437</v>
      </c>
      <c r="F82" s="23">
        <f t="shared" si="36"/>
        <v>570469.83679881762</v>
      </c>
      <c r="G82" s="23">
        <f t="shared" si="36"/>
        <v>551850.11243533937</v>
      </c>
      <c r="H82" s="23">
        <f t="shared" si="36"/>
        <v>531957.36835160886</v>
      </c>
      <c r="I82" s="23">
        <f t="shared" si="36"/>
        <v>510738.93819622847</v>
      </c>
      <c r="J82" s="23">
        <f t="shared" si="36"/>
        <v>488140.33151207183</v>
      </c>
      <c r="K82" s="24">
        <f t="shared" si="36"/>
        <v>464105.1729307865</v>
      </c>
      <c r="M82" s="2745"/>
      <c r="N82" s="2746"/>
    </row>
    <row r="83" spans="1:14" ht="13.15" customHeight="1">
      <c r="A83" s="22" t="str">
        <f>$A53</f>
        <v>Mortgage A</v>
      </c>
      <c r="B83" s="2886">
        <f>IF('Part III-Sources of Funds'!$N$37="", 0,-'Part III-Sources of Funds'!$N$37)</f>
        <v>-576755.08777726337</v>
      </c>
      <c r="C83" s="2886">
        <f>IF('Part III-Sources of Funds'!$N$37="", 0,-'Part III-Sources of Funds'!$N$37)</f>
        <v>-576755.08777726337</v>
      </c>
      <c r="D83" s="2886">
        <f>IF('Part III-Sources of Funds'!$N$37="", 0,-'Part III-Sources of Funds'!$N$37)</f>
        <v>-576755.08777726337</v>
      </c>
      <c r="E83" s="2886">
        <f>IF('Part III-Sources of Funds'!$N$37="", 0,-'Part III-Sources of Funds'!$N$37)</f>
        <v>-576755.08777726337</v>
      </c>
      <c r="F83" s="2886">
        <f>IF('Part III-Sources of Funds'!$N$37="", 0,-'Part III-Sources of Funds'!$N$37)</f>
        <v>-576755.08777726337</v>
      </c>
      <c r="G83" s="2886">
        <f>IF('Part III-Sources of Funds'!$N$37="", 0,-'Part III-Sources of Funds'!$N$37)</f>
        <v>-576755.08777726337</v>
      </c>
      <c r="H83" s="2886">
        <f>IF('Part III-Sources of Funds'!$N$37="", 0,-'Part III-Sources of Funds'!$N$37)</f>
        <v>-576755.08777726337</v>
      </c>
      <c r="I83" s="2886">
        <f>IF('Part III-Sources of Funds'!$N$37="", 0,-'Part III-Sources of Funds'!$N$37)</f>
        <v>-576755.08777726337</v>
      </c>
      <c r="J83" s="2886">
        <f>IF('Part III-Sources of Funds'!$N$37="", 0,-'Part III-Sources of Funds'!$N$37)</f>
        <v>-576755.08777726337</v>
      </c>
      <c r="K83" s="2886">
        <f>IF('Part III-Sources of Funds'!$N$37="", 0,-'Part III-Sources of Funds'!$N$37)</f>
        <v>-576755.08777726337</v>
      </c>
      <c r="M83" s="2745"/>
      <c r="N83" s="2746"/>
    </row>
    <row r="84" spans="1:14" ht="13.15" customHeight="1">
      <c r="A84" s="22" t="str">
        <f>$A54</f>
        <v>Mortgage B</v>
      </c>
      <c r="B84" s="2887">
        <f>IF('Part III-Sources of Funds'!$N$38="", 0,-'Part III-Sources of Funds'!$N$38)</f>
        <v>0</v>
      </c>
      <c r="C84" s="2887">
        <f>IF('Part III-Sources of Funds'!$N$38="", 0,-'Part III-Sources of Funds'!$N$38)</f>
        <v>0</v>
      </c>
      <c r="D84" s="2887">
        <f>IF('Part III-Sources of Funds'!$N$38="", 0,-'Part III-Sources of Funds'!$N$38)</f>
        <v>0</v>
      </c>
      <c r="E84" s="2887">
        <f>IF('Part III-Sources of Funds'!$N$38="", 0,-'Part III-Sources of Funds'!$N$38)</f>
        <v>0</v>
      </c>
      <c r="F84" s="2887">
        <f>IF('Part III-Sources of Funds'!$N$38="", 0,-'Part III-Sources of Funds'!$N$38)</f>
        <v>0</v>
      </c>
      <c r="G84" s="2887">
        <f>IF('Part III-Sources of Funds'!$N$38="", 0,-'Part III-Sources of Funds'!$N$38)</f>
        <v>0</v>
      </c>
      <c r="H84" s="2887">
        <f>IF('Part III-Sources of Funds'!$N$38="", 0,-'Part III-Sources of Funds'!$N$38)</f>
        <v>0</v>
      </c>
      <c r="I84" s="2887">
        <f>IF('Part III-Sources of Funds'!$N$38="", 0,-'Part III-Sources of Funds'!$N$38)</f>
        <v>0</v>
      </c>
      <c r="J84" s="2887">
        <f>IF('Part III-Sources of Funds'!$N$38="", 0,-'Part III-Sources of Funds'!$N$38)</f>
        <v>0</v>
      </c>
      <c r="K84" s="2887">
        <f>IF('Part III-Sources of Funds'!$N$38="", 0,-'Part III-Sources of Funds'!$N$38)</f>
        <v>0</v>
      </c>
      <c r="M84" s="2745"/>
      <c r="N84" s="2746"/>
    </row>
    <row r="85" spans="1:14" ht="13.15" customHeight="1">
      <c r="A85" s="22" t="str">
        <f>$A55</f>
        <v>Mortgage C</v>
      </c>
      <c r="B85" s="2887">
        <f>IF('Part III-Sources of Funds'!$N$39="", 0,-'Part III-Sources of Funds'!$N$39)</f>
        <v>0</v>
      </c>
      <c r="C85" s="2887">
        <f>IF('Part III-Sources of Funds'!$N$39="", 0,-'Part III-Sources of Funds'!$N$39)</f>
        <v>0</v>
      </c>
      <c r="D85" s="2887">
        <f>IF('Part III-Sources of Funds'!$N$39="", 0,-'Part III-Sources of Funds'!$N$39)</f>
        <v>0</v>
      </c>
      <c r="E85" s="2887">
        <f>IF('Part III-Sources of Funds'!$N$39="", 0,-'Part III-Sources of Funds'!$N$39)</f>
        <v>0</v>
      </c>
      <c r="F85" s="2887">
        <f>IF('Part III-Sources of Funds'!$N$39="", 0,-'Part III-Sources of Funds'!$N$39)</f>
        <v>0</v>
      </c>
      <c r="G85" s="2887">
        <f>IF('Part III-Sources of Funds'!$N$39="", 0,-'Part III-Sources of Funds'!$N$39)</f>
        <v>0</v>
      </c>
      <c r="H85" s="2887">
        <f>IF('Part III-Sources of Funds'!$N$39="", 0,-'Part III-Sources of Funds'!$N$39)</f>
        <v>0</v>
      </c>
      <c r="I85" s="2887">
        <f>IF('Part III-Sources of Funds'!$N$39="", 0,-'Part III-Sources of Funds'!$N$39)</f>
        <v>0</v>
      </c>
      <c r="J85" s="2887">
        <f>IF('Part III-Sources of Funds'!$N$39="", 0,-'Part III-Sources of Funds'!$N$39)</f>
        <v>0</v>
      </c>
      <c r="K85" s="2887">
        <f>IF('Part III-Sources of Funds'!$N$39="", 0,-'Part III-Sources of Funds'!$N$39)</f>
        <v>0</v>
      </c>
      <c r="M85" s="2745"/>
      <c r="N85" s="2746"/>
    </row>
    <row r="86" spans="1:14" ht="13.15" customHeight="1">
      <c r="A86" s="22" t="str">
        <f>$A56</f>
        <v>D/S Other Source</v>
      </c>
      <c r="B86" s="2887">
        <f>IF('Part III-Sources of Funds'!$N$40="", 0,-'Part III-Sources of Funds'!$N$40)</f>
        <v>0</v>
      </c>
      <c r="C86" s="2887">
        <f>IF('Part III-Sources of Funds'!$N$40="", 0,-'Part III-Sources of Funds'!$N$40)</f>
        <v>0</v>
      </c>
      <c r="D86" s="2887">
        <f>IF('Part III-Sources of Funds'!$N$40="", 0,-'Part III-Sources of Funds'!$N$40)</f>
        <v>0</v>
      </c>
      <c r="E86" s="2887">
        <f>IF('Part III-Sources of Funds'!$N$40="", 0,-'Part III-Sources of Funds'!$N$40)</f>
        <v>0</v>
      </c>
      <c r="F86" s="2887">
        <f>IF('Part III-Sources of Funds'!$N$40="", 0,-'Part III-Sources of Funds'!$N$40)</f>
        <v>0</v>
      </c>
      <c r="G86" s="2887">
        <f>IF('Part III-Sources of Funds'!$N$40="", 0,-'Part III-Sources of Funds'!$N$40)</f>
        <v>0</v>
      </c>
      <c r="H86" s="2887">
        <f>IF('Part III-Sources of Funds'!$N$40="", 0,-'Part III-Sources of Funds'!$N$40)</f>
        <v>0</v>
      </c>
      <c r="I86" s="2887">
        <f>IF('Part III-Sources of Funds'!$N$40="", 0,-'Part III-Sources of Funds'!$N$40)</f>
        <v>0</v>
      </c>
      <c r="J86" s="2887">
        <f>IF('Part III-Sources of Funds'!$N$40="", 0,-'Part III-Sources of Funds'!$N$40)</f>
        <v>0</v>
      </c>
      <c r="K86" s="2887">
        <f>IF('Part III-Sources of Funds'!$N$40="", 0,-'Part III-Sources of Funds'!$N$40)</f>
        <v>0</v>
      </c>
      <c r="M86" s="2745"/>
      <c r="N86" s="2746"/>
    </row>
    <row r="87" spans="1:14" ht="13.15" customHeight="1">
      <c r="A87" s="22" t="s">
        <v>794</v>
      </c>
      <c r="B87" s="2888"/>
      <c r="C87" s="2888"/>
      <c r="D87" s="2888"/>
      <c r="E87" s="2888"/>
      <c r="F87" s="2888"/>
      <c r="G87" s="2888"/>
      <c r="H87" s="2888"/>
      <c r="I87" s="2888"/>
      <c r="J87" s="2888"/>
      <c r="K87" s="2888"/>
      <c r="M87" s="2745"/>
      <c r="N87" s="2746"/>
    </row>
    <row r="88" spans="1:14" ht="13.15" customHeight="1">
      <c r="A88" s="22" t="s">
        <v>1206</v>
      </c>
      <c r="B88" s="2887">
        <f>+K58</f>
        <v>-18750</v>
      </c>
      <c r="C88" s="2887">
        <f t="shared" ref="C88:K88" si="37">+B88</f>
        <v>-18750</v>
      </c>
      <c r="D88" s="2887">
        <f t="shared" si="37"/>
        <v>-18750</v>
      </c>
      <c r="E88" s="2887">
        <f t="shared" si="37"/>
        <v>-18750</v>
      </c>
      <c r="F88" s="2887">
        <f t="shared" si="37"/>
        <v>-18750</v>
      </c>
      <c r="G88" s="2887">
        <f t="shared" si="37"/>
        <v>-18750</v>
      </c>
      <c r="H88" s="2887">
        <f t="shared" si="37"/>
        <v>-18750</v>
      </c>
      <c r="I88" s="2887">
        <f t="shared" si="37"/>
        <v>-18750</v>
      </c>
      <c r="J88" s="2887">
        <f t="shared" si="37"/>
        <v>-18750</v>
      </c>
      <c r="K88" s="2887">
        <f t="shared" si="37"/>
        <v>-18750</v>
      </c>
      <c r="M88" s="2745"/>
      <c r="N88" s="2746"/>
    </row>
    <row r="89" spans="1:14" ht="13.15" customHeight="1">
      <c r="A89" s="22" t="s">
        <v>1249</v>
      </c>
      <c r="B89" s="2889">
        <f>IF('Part III-Sources of Funds'!$N$42="", 0,-'Part III-Sources of Funds'!$N$42)</f>
        <v>0</v>
      </c>
      <c r="C89" s="2889">
        <f>IF('Part III-Sources of Funds'!$N$42="", 0,-'Part III-Sources of Funds'!$N$42)</f>
        <v>0</v>
      </c>
      <c r="D89" s="2889">
        <f>IF('Part III-Sources of Funds'!$N$42="", 0,-'Part III-Sources of Funds'!$N$42)</f>
        <v>0</v>
      </c>
      <c r="E89" s="2889">
        <f>IF('Part III-Sources of Funds'!$N$42="", 0,-'Part III-Sources of Funds'!$N$42)</f>
        <v>0</v>
      </c>
      <c r="F89" s="2889">
        <f>IF('Part III-Sources of Funds'!$N$42="", 0,-'Part III-Sources of Funds'!$N$42)</f>
        <v>0</v>
      </c>
      <c r="G89" s="2889">
        <f>IF('Part III-Sources of Funds'!$N$42="", 0,-'Part III-Sources of Funds'!$N$42)</f>
        <v>0</v>
      </c>
      <c r="H89" s="2889">
        <f>IF('Part III-Sources of Funds'!$N$42="", 0,-'Part III-Sources of Funds'!$N$42)</f>
        <v>0</v>
      </c>
      <c r="I89" s="2889">
        <f>IF('Part III-Sources of Funds'!$N$42="", 0,-'Part III-Sources of Funds'!$N$42)</f>
        <v>0</v>
      </c>
      <c r="J89" s="2889">
        <f>IF('Part III-Sources of Funds'!$N$42="", 0,-'Part III-Sources of Funds'!$N$42)</f>
        <v>0</v>
      </c>
      <c r="K89" s="2887">
        <f>IF('Part III-Sources of Funds'!$N$42="", 0,-'Part III-Sources of Funds'!$N$42)</f>
        <v>0</v>
      </c>
      <c r="M89" s="2745"/>
      <c r="N89" s="2746"/>
    </row>
    <row r="90" spans="1:14" ht="13.15" customHeight="1">
      <c r="A90" s="22" t="s">
        <v>1207</v>
      </c>
      <c r="B90" s="23">
        <f t="shared" ref="B90:K90" si="38">SUM(B82:B89)</f>
        <v>37697.181258539553</v>
      </c>
      <c r="C90" s="23">
        <f t="shared" si="38"/>
        <v>23681.330258472706</v>
      </c>
      <c r="D90" s="23">
        <f t="shared" si="38"/>
        <v>8584.0351469799643</v>
      </c>
      <c r="E90" s="23">
        <f t="shared" si="38"/>
        <v>-7638.6451709090034</v>
      </c>
      <c r="F90" s="23">
        <f t="shared" si="38"/>
        <v>-25035.250978445751</v>
      </c>
      <c r="G90" s="23">
        <f t="shared" si="38"/>
        <v>-43654.975341924001</v>
      </c>
      <c r="H90" s="23">
        <f t="shared" si="38"/>
        <v>-63547.719425654504</v>
      </c>
      <c r="I90" s="23">
        <f t="shared" si="38"/>
        <v>-84766.149581034901</v>
      </c>
      <c r="J90" s="23">
        <f t="shared" si="38"/>
        <v>-107364.75626519154</v>
      </c>
      <c r="K90" s="21">
        <f t="shared" si="38"/>
        <v>-131399.91484647687</v>
      </c>
      <c r="M90" s="2745"/>
      <c r="N90" s="2746"/>
    </row>
    <row r="91" spans="1:14" ht="13.15" customHeight="1">
      <c r="A91" s="22" t="str">
        <f>$A61</f>
        <v>DCR Mortgage A</v>
      </c>
      <c r="B91" s="25">
        <f>IF(B83=0,"",-B82/B83)</f>
        <v>1.0978702788320072</v>
      </c>
      <c r="C91" s="25">
        <f t="shared" ref="C91:K91" si="39">IF(C83=0,"",-C82/C83)</f>
        <v>1.0735690610411386</v>
      </c>
      <c r="D91" s="25">
        <f t="shared" si="39"/>
        <v>1.0473927941447758</v>
      </c>
      <c r="E91" s="25">
        <f t="shared" si="39"/>
        <v>1.019265291394156</v>
      </c>
      <c r="F91" s="25">
        <f t="shared" si="39"/>
        <v>0.98910239179221071</v>
      </c>
      <c r="G91" s="25">
        <f t="shared" si="39"/>
        <v>0.95681880252170048</v>
      </c>
      <c r="H91" s="25">
        <f t="shared" si="39"/>
        <v>0.92232800303799856</v>
      </c>
      <c r="I91" s="25">
        <f t="shared" si="39"/>
        <v>0.88553867840949219</v>
      </c>
      <c r="J91" s="25">
        <f t="shared" si="39"/>
        <v>0.84635635100038575</v>
      </c>
      <c r="K91" s="26">
        <f t="shared" si="39"/>
        <v>0.80468327504380677</v>
      </c>
      <c r="M91" s="2745"/>
      <c r="N91" s="2746"/>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745"/>
      <c r="N92" s="2746"/>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745"/>
      <c r="N93" s="2746"/>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745"/>
      <c r="N94" s="2746"/>
    </row>
    <row r="95" spans="1:14" ht="13.15" customHeight="1">
      <c r="A95" s="472" t="s">
        <v>4200</v>
      </c>
      <c r="B95" s="25">
        <f>IF(AND(B83=0,B84=0,B85=0,B86=0),"",-B82/(B83+B84+B85+B86))</f>
        <v>1.0978702788320072</v>
      </c>
      <c r="C95" s="25">
        <f t="shared" ref="C95:K95" si="43">IF(AND(C83=0,C84=0,C85=0,C86=0),"",-C82/(C83+C84+C85+C86))</f>
        <v>1.0735690610411386</v>
      </c>
      <c r="D95" s="25">
        <f t="shared" si="43"/>
        <v>1.0473927941447758</v>
      </c>
      <c r="E95" s="25">
        <f t="shared" si="43"/>
        <v>1.019265291394156</v>
      </c>
      <c r="F95" s="25">
        <f t="shared" si="43"/>
        <v>0.98910239179221071</v>
      </c>
      <c r="G95" s="25">
        <f t="shared" si="43"/>
        <v>0.95681880252170048</v>
      </c>
      <c r="H95" s="25">
        <f t="shared" si="43"/>
        <v>0.92232800303799856</v>
      </c>
      <c r="I95" s="25">
        <f t="shared" si="43"/>
        <v>0.88553867840949219</v>
      </c>
      <c r="J95" s="25">
        <f t="shared" si="43"/>
        <v>0.84635635100038575</v>
      </c>
      <c r="K95" s="26">
        <f t="shared" si="43"/>
        <v>0.80468327504380677</v>
      </c>
      <c r="M95" s="2745"/>
      <c r="N95" s="2746"/>
    </row>
    <row r="96" spans="1:14" ht="13.15" customHeight="1">
      <c r="A96" s="22" t="s">
        <v>801</v>
      </c>
      <c r="B96" s="293">
        <f>IF(OR(B80="Choose mgt fee",B80="Choose One!"),"",(B74+B75+B76+B77+B78) / -(B79+B80+B81))</f>
        <v>1.2199580818987865</v>
      </c>
      <c r="C96" s="293">
        <f t="shared" ref="C96:K96" si="44">IF(OR(C80="Choose mgt fee",C80="Choose One!"),"",(C74+C75+C76+C77+C78) / -(C79+C80+C81))</f>
        <v>1.2089731320761388</v>
      </c>
      <c r="D96" s="293">
        <f t="shared" si="44"/>
        <v>1.1980791346956203</v>
      </c>
      <c r="E96" s="293">
        <f t="shared" si="44"/>
        <v>1.1872761391134403</v>
      </c>
      <c r="F96" s="293">
        <f t="shared" si="44"/>
        <v>1.1765630189653633</v>
      </c>
      <c r="G96" s="293">
        <f t="shared" si="44"/>
        <v>1.1659390848123397</v>
      </c>
      <c r="H96" s="293">
        <f t="shared" si="44"/>
        <v>1.1554040102862129</v>
      </c>
      <c r="I96" s="293">
        <f t="shared" si="44"/>
        <v>1.1449571162291601</v>
      </c>
      <c r="J96" s="293">
        <f t="shared" si="44"/>
        <v>1.1345977459607757</v>
      </c>
      <c r="K96" s="294">
        <f t="shared" si="44"/>
        <v>1.1243252625850257</v>
      </c>
      <c r="M96" s="2745"/>
      <c r="N96" s="2746"/>
    </row>
    <row r="97" spans="1:14" ht="13.15" customHeight="1">
      <c r="A97" s="472" t="s">
        <v>2705</v>
      </c>
      <c r="B97" s="2890">
        <f>IF('Part III-Sources of Funds'!$I$37="","",-FV('Part III-Sources of Funds'!$K$37/12,12,B83/12,K67))</f>
        <v>7667124.5430880403</v>
      </c>
      <c r="C97" s="2890">
        <f>IF('Part III-Sources of Funds'!$I$37="","",-FV('Part III-Sources of Funds'!$K$37/12,12,C83/12,B97))</f>
        <v>7392047.7226595152</v>
      </c>
      <c r="D97" s="2890">
        <f>IF('Part III-Sources of Funds'!$I$37="","",-FV('Part III-Sources of Funds'!$K$37/12,12,D83/12,C97))</f>
        <v>7105763.8481452623</v>
      </c>
      <c r="E97" s="2890">
        <f>IF('Part III-Sources of Funds'!$I$37="","",-FV('Part III-Sources of Funds'!$K$37/12,12,E83/12,D97))</f>
        <v>6807816.3268702431</v>
      </c>
      <c r="F97" s="2890">
        <f>IF('Part III-Sources of Funds'!$I$37="","",-FV('Part III-Sources of Funds'!$K$37/12,12,F83/12,E97))</f>
        <v>6497729.9638693519</v>
      </c>
      <c r="G97" s="2890">
        <f>IF('Part III-Sources of Funds'!$I$37="","",-FV('Part III-Sources of Funds'!$K$37/12,12,G83/12,F97))</f>
        <v>6175010.2040014183</v>
      </c>
      <c r="H97" s="2890">
        <f>IF('Part III-Sources of Funds'!$I$37="","",-FV('Part III-Sources of Funds'!$K$37/12,12,H83/12,G97))</f>
        <v>5839142.343185761</v>
      </c>
      <c r="I97" s="2890">
        <f>IF('Part III-Sources of Funds'!$I$37="","",-FV('Part III-Sources of Funds'!$K$37/12,12,I83/12,H97))</f>
        <v>5489590.7075033039</v>
      </c>
      <c r="J97" s="2890">
        <f>IF('Part III-Sources of Funds'!$I$37="","",-FV('Part III-Sources of Funds'!$K$37/12,12,J83/12,I97))</f>
        <v>5125797.7988530071</v>
      </c>
      <c r="K97" s="2890">
        <f>IF('Part III-Sources of Funds'!$I$37="","",-FV('Part III-Sources of Funds'!$K$37/12,12,K83/12,J97))</f>
        <v>4747183.4058010187</v>
      </c>
      <c r="M97" s="2745"/>
      <c r="N97" s="2746"/>
    </row>
    <row r="98" spans="1:14" ht="13.15" customHeight="1">
      <c r="A98" s="472" t="s">
        <v>2706</v>
      </c>
      <c r="B98" s="2887" t="str">
        <f>IF('Part III-Sources of Funds'!$I$38="","",-FV('Part III-Sources of Funds'!$K$38/12,12,B84/12,K68))</f>
        <v/>
      </c>
      <c r="C98" s="2887" t="str">
        <f>IF('Part III-Sources of Funds'!$I$38="","",-FV('Part III-Sources of Funds'!$K$38/12,12,C84/12,B98))</f>
        <v/>
      </c>
      <c r="D98" s="2887" t="str">
        <f>IF('Part III-Sources of Funds'!$I$38="","",-FV('Part III-Sources of Funds'!$K$38/12,12,D84/12,C98))</f>
        <v/>
      </c>
      <c r="E98" s="2887" t="str">
        <f>IF('Part III-Sources of Funds'!$I$38="","",-FV('Part III-Sources of Funds'!$K$38/12,12,E84/12,D98))</f>
        <v/>
      </c>
      <c r="F98" s="2887" t="str">
        <f>IF('Part III-Sources of Funds'!$I$38="","",-FV('Part III-Sources of Funds'!$K$38/12,12,F84/12,E98))</f>
        <v/>
      </c>
      <c r="G98" s="2887" t="str">
        <f>IF('Part III-Sources of Funds'!$I$38="","",-FV('Part III-Sources of Funds'!$K$38/12,12,G84/12,F98))</f>
        <v/>
      </c>
      <c r="H98" s="2887" t="str">
        <f>IF('Part III-Sources of Funds'!$I$38="","",-FV('Part III-Sources of Funds'!$K$38/12,12,H84/12,G98))</f>
        <v/>
      </c>
      <c r="I98" s="2887" t="str">
        <f>IF('Part III-Sources of Funds'!$I$38="","",-FV('Part III-Sources of Funds'!$K$38/12,12,I84/12,H98))</f>
        <v/>
      </c>
      <c r="J98" s="2887" t="str">
        <f>IF('Part III-Sources of Funds'!$I$38="","",-FV('Part III-Sources of Funds'!$K$38/12,12,J84/12,I98))</f>
        <v/>
      </c>
      <c r="K98" s="2887" t="str">
        <f>IF('Part III-Sources of Funds'!$I$38="","",-FV('Part III-Sources of Funds'!$K$38/12,12,K84/12,J98))</f>
        <v/>
      </c>
      <c r="M98" s="2745"/>
      <c r="N98" s="2746"/>
    </row>
    <row r="99" spans="1:14" ht="13.15" customHeight="1">
      <c r="A99" s="472" t="s">
        <v>2707</v>
      </c>
      <c r="B99" s="2887" t="str">
        <f>IF('Part III-Sources of Funds'!$I$39="","",-FV('Part III-Sources of Funds'!$K$39/12,12,B85/12,K69))</f>
        <v/>
      </c>
      <c r="C99" s="2887" t="str">
        <f>IF('Part III-Sources of Funds'!$I$39="","",-FV('Part III-Sources of Funds'!$K$39/12,12,C85/12,B99))</f>
        <v/>
      </c>
      <c r="D99" s="2887" t="str">
        <f>IF('Part III-Sources of Funds'!$I$39="","",-FV('Part III-Sources of Funds'!$K$39/12,12,D85/12,C99))</f>
        <v/>
      </c>
      <c r="E99" s="2887" t="str">
        <f>IF('Part III-Sources of Funds'!$I$39="","",-FV('Part III-Sources of Funds'!$K$39/12,12,E85/12,D99))</f>
        <v/>
      </c>
      <c r="F99" s="2887" t="str">
        <f>IF('Part III-Sources of Funds'!$I$39="","",-FV('Part III-Sources of Funds'!$K$39/12,12,F85/12,E99))</f>
        <v/>
      </c>
      <c r="G99" s="2887" t="str">
        <f>IF('Part III-Sources of Funds'!$I$39="","",-FV('Part III-Sources of Funds'!$K$39/12,12,G85/12,F99))</f>
        <v/>
      </c>
      <c r="H99" s="2887" t="str">
        <f>IF('Part III-Sources of Funds'!$I$39="","",-FV('Part III-Sources of Funds'!$K$39/12,12,H85/12,G99))</f>
        <v/>
      </c>
      <c r="I99" s="2887" t="str">
        <f>IF('Part III-Sources of Funds'!$I$39="","",-FV('Part III-Sources of Funds'!$K$39/12,12,I85/12,H99))</f>
        <v/>
      </c>
      <c r="J99" s="2887" t="str">
        <f>IF('Part III-Sources of Funds'!$I$39="","",-FV('Part III-Sources of Funds'!$K$39/12,12,J85/12,I99))</f>
        <v/>
      </c>
      <c r="K99" s="2887" t="str">
        <f>IF('Part III-Sources of Funds'!$I$39="","",-FV('Part III-Sources of Funds'!$K$39/12,12,K85/12,J99))</f>
        <v/>
      </c>
      <c r="M99" s="2745"/>
      <c r="N99" s="2746"/>
    </row>
    <row r="100" spans="1:14" ht="13.15" customHeight="1">
      <c r="A100" s="22" t="s">
        <v>816</v>
      </c>
      <c r="B100" s="2887" t="str">
        <f>IF('Part III-Sources of Funds'!$I$40="","",-FV('Part III-Sources of Funds'!$K$40/12,12,B86/12,K70))</f>
        <v/>
      </c>
      <c r="C100" s="2887" t="str">
        <f>IF('Part III-Sources of Funds'!$I$40="","",-FV('Part III-Sources of Funds'!$K$40/12,12,C86/12,B100))</f>
        <v/>
      </c>
      <c r="D100" s="2887" t="str">
        <f>IF('Part III-Sources of Funds'!$I$40="","",-FV('Part III-Sources of Funds'!$K$40/12,12,D86/12,C100))</f>
        <v/>
      </c>
      <c r="E100" s="2887" t="str">
        <f>IF('Part III-Sources of Funds'!$I$40="","",-FV('Part III-Sources of Funds'!$K$40/12,12,E86/12,D100))</f>
        <v/>
      </c>
      <c r="F100" s="2887" t="str">
        <f>IF('Part III-Sources of Funds'!$I$40="","",-FV('Part III-Sources of Funds'!$K$40/12,12,F86/12,E100))</f>
        <v/>
      </c>
      <c r="G100" s="2887" t="str">
        <f>IF('Part III-Sources of Funds'!$I$40="","",-FV('Part III-Sources of Funds'!$K$40/12,12,G86/12,F100))</f>
        <v/>
      </c>
      <c r="H100" s="2887" t="str">
        <f>IF('Part III-Sources of Funds'!$I$40="","",-FV('Part III-Sources of Funds'!$K$40/12,12,H86/12,G100))</f>
        <v/>
      </c>
      <c r="I100" s="2887" t="str">
        <f>IF('Part III-Sources of Funds'!$I$40="","",-FV('Part III-Sources of Funds'!$K$40/12,12,I86/12,H100))</f>
        <v/>
      </c>
      <c r="J100" s="2887" t="str">
        <f>IF('Part III-Sources of Funds'!$I$40="","",-FV('Part III-Sources of Funds'!$K$40/12,12,J86/12,I100))</f>
        <v/>
      </c>
      <c r="K100" s="2887" t="str">
        <f>IF('Part III-Sources of Funds'!$I$40="","",-FV('Part III-Sources of Funds'!$K$40/12,12,K86/12,J100))</f>
        <v/>
      </c>
      <c r="M100" s="2745"/>
      <c r="N100" s="2746"/>
    </row>
    <row r="101" spans="1:14" ht="13.15" customHeight="1">
      <c r="A101" s="27" t="s">
        <v>1284</v>
      </c>
      <c r="B101" s="2889">
        <f>IF('Part III-Sources of Funds'!$I$42="","",-FV('Part III-Sources of Funds'!$K$42/12,12,B89/12,K71))</f>
        <v>0</v>
      </c>
      <c r="C101" s="2889">
        <f>IF('Part III-Sources of Funds'!$I$42="","",-FV('Part III-Sources of Funds'!$K$42/12,12,C89/12,B101))</f>
        <v>0</v>
      </c>
      <c r="D101" s="2889">
        <f>IF('Part III-Sources of Funds'!$I$42="","",-FV('Part III-Sources of Funds'!$K$42/12,12,D89/12,C101))</f>
        <v>0</v>
      </c>
      <c r="E101" s="2889">
        <f>IF('Part III-Sources of Funds'!$I$42="","",-FV('Part III-Sources of Funds'!$K$42/12,12,E89/12,D101))</f>
        <v>0</v>
      </c>
      <c r="F101" s="2889">
        <f>IF('Part III-Sources of Funds'!$I$42="","",-FV('Part III-Sources of Funds'!$K$42/12,12,F89/12,E101))</f>
        <v>0</v>
      </c>
      <c r="G101" s="2889">
        <f>IF('Part III-Sources of Funds'!$I$42="","",-FV('Part III-Sources of Funds'!$K$42/12,12,G89/12,F101))</f>
        <v>0</v>
      </c>
      <c r="H101" s="2889">
        <f>IF('Part III-Sources of Funds'!$I$42="","",-FV('Part III-Sources of Funds'!$K$42/12,12,H89/12,G101))</f>
        <v>0</v>
      </c>
      <c r="I101" s="2889">
        <f>IF('Part III-Sources of Funds'!$I$42="","",-FV('Part III-Sources of Funds'!$K$42/12,12,I89/12,H101))</f>
        <v>0</v>
      </c>
      <c r="J101" s="2889">
        <f>IF('Part III-Sources of Funds'!$I$42="","",-FV('Part III-Sources of Funds'!$K$42/12,12,J89/12,I101))</f>
        <v>0</v>
      </c>
      <c r="K101" s="2889">
        <f>IF('Part III-Sources of Funds'!$I$42="","",-FV('Part III-Sources of Funds'!$K$42/12,12,K89/12,J101))</f>
        <v>0</v>
      </c>
      <c r="M101" s="2748"/>
      <c r="N101" s="2749"/>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938" t="s">
        <v>4162</v>
      </c>
      <c r="N103" s="1938"/>
    </row>
    <row r="104" spans="1:14" ht="13.15" customHeight="1">
      <c r="A104" s="19" t="s">
        <v>2489</v>
      </c>
      <c r="B104" s="20">
        <f>$B$14*(1+$B$5)^(B103-1)</f>
        <v>4513007.3867935054</v>
      </c>
      <c r="C104" s="20">
        <f>$B$14*(1+$B$5)^(C103-1)</f>
        <v>4603267.534529374</v>
      </c>
      <c r="D104" s="20">
        <f>$B$14*(1+$B$5)^(D103-1)</f>
        <v>4695332.8852199623</v>
      </c>
      <c r="E104" s="20">
        <f>$B$14*(1+$B$5)^(E103-1)</f>
        <v>4789239.5429243622</v>
      </c>
      <c r="F104" s="850">
        <f>$B$14*(1+$B$5)^(F103-1)</f>
        <v>4885024.3337828489</v>
      </c>
      <c r="G104" s="18"/>
      <c r="H104" s="18"/>
      <c r="I104" s="18"/>
      <c r="J104" s="18"/>
      <c r="K104" s="18"/>
      <c r="M104" s="2743"/>
      <c r="N104" s="2744"/>
    </row>
    <row r="105" spans="1:14" ht="13.15" customHeight="1">
      <c r="A105" s="22" t="s">
        <v>1053</v>
      </c>
      <c r="B105" s="23">
        <f>$B$15*(1+$B$5)^(B103-1)</f>
        <v>90260.147735870109</v>
      </c>
      <c r="C105" s="23">
        <f>$B$15*(1+$B$5)^(C103-1)</f>
        <v>92065.350690587482</v>
      </c>
      <c r="D105" s="23">
        <f>$B$15*(1+$B$5)^(D103-1)</f>
        <v>93906.657704399258</v>
      </c>
      <c r="E105" s="23">
        <f>$B$15*(1+$B$5)^(E103-1)</f>
        <v>95784.790858487249</v>
      </c>
      <c r="F105" s="24">
        <f>$B$15*(1+$B$5)^(F103-1)</f>
        <v>97700.486675656983</v>
      </c>
      <c r="G105" s="18"/>
      <c r="H105" s="18"/>
      <c r="I105" s="18"/>
      <c r="J105" s="18"/>
      <c r="K105" s="18"/>
      <c r="M105" s="2745"/>
      <c r="N105" s="2746"/>
    </row>
    <row r="106" spans="1:14" ht="13.15" customHeight="1">
      <c r="A106" s="22" t="s">
        <v>2490</v>
      </c>
      <c r="B106" s="23">
        <f>-(B104+B105)*$B$8</f>
        <v>-322228.72741705633</v>
      </c>
      <c r="C106" s="23">
        <f>-(C104+C105)*$B$8</f>
        <v>-328673.30196539732</v>
      </c>
      <c r="D106" s="23">
        <f>-(D104+D105)*$B$8</f>
        <v>-335246.76800470531</v>
      </c>
      <c r="E106" s="23">
        <f>-(E104+E105)*$B$8</f>
        <v>-341951.7033647995</v>
      </c>
      <c r="F106" s="24">
        <f>-(F104+F105)*$B$8</f>
        <v>-348790.73743209546</v>
      </c>
      <c r="G106" s="18"/>
      <c r="H106" s="18"/>
      <c r="I106" s="18"/>
      <c r="J106" s="18"/>
      <c r="K106" s="18"/>
      <c r="M106" s="2745"/>
      <c r="N106" s="2746"/>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745"/>
      <c r="N107" s="2746"/>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745"/>
      <c r="N108" s="2746"/>
    </row>
    <row r="109" spans="1:14" ht="13.15" customHeight="1">
      <c r="A109" s="22" t="s">
        <v>638</v>
      </c>
      <c r="B109" s="23">
        <f>$B$19*(1+$B$6)^(B103-1)</f>
        <v>-3408895.9597881809</v>
      </c>
      <c r="C109" s="23">
        <f>$B$19*(1+$B$6)^(C103-1)</f>
        <v>-3511162.838581827</v>
      </c>
      <c r="D109" s="23">
        <f>$B$19*(1+$B$6)^(D103-1)</f>
        <v>-3616497.7237392813</v>
      </c>
      <c r="E109" s="23">
        <f>$B$19*(1+$B$6)^(E103-1)</f>
        <v>-3724992.6554514598</v>
      </c>
      <c r="F109" s="24">
        <f>$B$19*(1+$B$6)^(F103-1)</f>
        <v>-3836742.435115003</v>
      </c>
      <c r="G109" s="18"/>
      <c r="H109" s="18"/>
      <c r="I109" s="18"/>
      <c r="J109" s="18"/>
      <c r="K109" s="18"/>
      <c r="M109" s="2745"/>
      <c r="N109" s="2746"/>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-256862</v>
      </c>
      <c r="C110" s="23">
        <f>IF(AND('Part VII-Pro Forma'!$G$8="Yes",'Part VII-Pro Forma'!$G$9="Yes"),"Choose One!",IF('Part VII-Pro Forma'!$G$8="Yes",ROUND((-$K$8*(1+'Part VII-Pro Forma'!$B$6)^('Part VII-Pro Forma'!C103-1)),),IF('Part VII-Pro Forma'!$G$9="Yes",ROUND((-(SUM(C104:C107)*'Part VII-Pro Forma'!$K$9)),),"Choose mgt fee")))</f>
        <v>-262000</v>
      </c>
      <c r="D110" s="23">
        <f>IF(AND('Part VII-Pro Forma'!$G$8="Yes",'Part VII-Pro Forma'!$G$9="Yes"),"Choose One!",IF('Part VII-Pro Forma'!$G$8="Yes",ROUND((-$K$8*(1+'Part VII-Pro Forma'!$B$6)^('Part VII-Pro Forma'!D103-1)),),IF('Part VII-Pro Forma'!$G$9="Yes",ROUND((-(SUM(D104:D107)*'Part VII-Pro Forma'!$K$9)),),"Choose mgt fee")))</f>
        <v>-267240</v>
      </c>
      <c r="E110" s="23">
        <f>IF(AND('Part VII-Pro Forma'!$G$8="Yes",'Part VII-Pro Forma'!$G$9="Yes"),"Choose One!",IF('Part VII-Pro Forma'!$G$8="Yes",ROUND((-$K$8*(1+'Part VII-Pro Forma'!$B$6)^('Part VII-Pro Forma'!E103-1)),),IF('Part VII-Pro Forma'!$G$9="Yes",ROUND((-(SUM(E104:E107)*'Part VII-Pro Forma'!$K$9)),),"Choose mgt fee")))</f>
        <v>-272584</v>
      </c>
      <c r="F110" s="24">
        <f>IF(AND('Part VII-Pro Forma'!$G$8="Yes",'Part VII-Pro Forma'!$G$9="Yes"),"Choose One!",IF('Part VII-Pro Forma'!$G$8="Yes",ROUND((-$K$8*(1+'Part VII-Pro Forma'!$B$6)^('Part VII-Pro Forma'!F103-1)),),IF('Part VII-Pro Forma'!$G$9="Yes",ROUND((-(SUM(F104:F107)*'Part VII-Pro Forma'!$K$9)),),"Choose mgt fee")))</f>
        <v>-278036</v>
      </c>
      <c r="G110" s="18"/>
      <c r="H110" s="18"/>
      <c r="I110" s="18"/>
      <c r="J110" s="18"/>
      <c r="K110" s="18"/>
      <c r="M110" s="2745"/>
      <c r="N110" s="2746"/>
    </row>
    <row r="111" spans="1:14" ht="13.15" customHeight="1">
      <c r="A111" s="22" t="s">
        <v>1247</v>
      </c>
      <c r="B111" s="23">
        <f>$B$21*(1+$B$7)^(B103-1)</f>
        <v>-176704.70790260719</v>
      </c>
      <c r="C111" s="23">
        <f>$B$21*(1+$B$7)^(C103-1)</f>
        <v>-182005.84913968542</v>
      </c>
      <c r="D111" s="23">
        <f>$B$21*(1+$B$7)^(D103-1)</f>
        <v>-187466.02461387595</v>
      </c>
      <c r="E111" s="23">
        <f>$B$21*(1+$B$7)^(E103-1)</f>
        <v>-193090.00535229224</v>
      </c>
      <c r="F111" s="24">
        <f>$B$21*(1+$B$7)^(F103-1)</f>
        <v>-198882.70551286096</v>
      </c>
      <c r="G111" s="18"/>
      <c r="H111" s="18"/>
      <c r="I111" s="18"/>
      <c r="J111" s="18"/>
      <c r="K111" s="18"/>
      <c r="M111" s="2745"/>
      <c r="N111" s="2746"/>
    </row>
    <row r="112" spans="1:14" ht="13.15" customHeight="1">
      <c r="A112" s="22" t="s">
        <v>1248</v>
      </c>
      <c r="B112" s="23">
        <f>SUM(B104:B111)</f>
        <v>438576.13942153135</v>
      </c>
      <c r="C112" s="23">
        <f>SUM(C104:C111)</f>
        <v>411490.89553305216</v>
      </c>
      <c r="D112" s="23">
        <f>SUM(D104:D111)</f>
        <v>382789.02656649885</v>
      </c>
      <c r="E112" s="23">
        <f>SUM(E104:E111)</f>
        <v>352405.96961429808</v>
      </c>
      <c r="F112" s="24">
        <f>SUM(F104:F111)</f>
        <v>320272.94239854702</v>
      </c>
      <c r="G112" s="18"/>
      <c r="H112" s="18"/>
      <c r="I112" s="18"/>
      <c r="J112" s="18"/>
      <c r="K112" s="18"/>
      <c r="M112" s="2745"/>
      <c r="N112" s="2746"/>
    </row>
    <row r="113" spans="1:14" ht="13.15" customHeight="1">
      <c r="A113" s="22" t="str">
        <f>$A83</f>
        <v>Mortgage A</v>
      </c>
      <c r="B113" s="2886">
        <f>IF('Part III-Sources of Funds'!$N$37="", 0,-'Part III-Sources of Funds'!$N$37)</f>
        <v>-576755.08777726337</v>
      </c>
      <c r="C113" s="2886">
        <f>IF('Part III-Sources of Funds'!$N$37="", 0,-'Part III-Sources of Funds'!$N$37)</f>
        <v>-576755.08777726337</v>
      </c>
      <c r="D113" s="2886">
        <f>IF('Part III-Sources of Funds'!$N$37="", 0,-'Part III-Sources of Funds'!$N$37)</f>
        <v>-576755.08777726337</v>
      </c>
      <c r="E113" s="2886">
        <f>IF('Part III-Sources of Funds'!$N$37="", 0,-'Part III-Sources of Funds'!$N$37)</f>
        <v>-576755.08777726337</v>
      </c>
      <c r="F113" s="2886">
        <f>IF('Part III-Sources of Funds'!$N$37="", 0,-'Part III-Sources of Funds'!$N$37)</f>
        <v>-576755.08777726337</v>
      </c>
      <c r="G113" s="18"/>
      <c r="H113" s="18"/>
      <c r="I113" s="18"/>
      <c r="J113" s="18"/>
      <c r="K113" s="18"/>
      <c r="M113" s="2745"/>
      <c r="N113" s="2746"/>
    </row>
    <row r="114" spans="1:14" ht="13.15" customHeight="1">
      <c r="A114" s="22" t="str">
        <f>$A84</f>
        <v>Mortgage B</v>
      </c>
      <c r="B114" s="2887">
        <f>IF('Part III-Sources of Funds'!$N$38="", 0,-'Part III-Sources of Funds'!$N$38)</f>
        <v>0</v>
      </c>
      <c r="C114" s="2887">
        <f>IF('Part III-Sources of Funds'!$N$38="", 0,-'Part III-Sources of Funds'!$N$38)</f>
        <v>0</v>
      </c>
      <c r="D114" s="2887">
        <f>IF('Part III-Sources of Funds'!$N$38="", 0,-'Part III-Sources of Funds'!$N$38)</f>
        <v>0</v>
      </c>
      <c r="E114" s="2887">
        <f>IF('Part III-Sources of Funds'!$N$38="", 0,-'Part III-Sources of Funds'!$N$38)</f>
        <v>0</v>
      </c>
      <c r="F114" s="2887">
        <f>IF('Part III-Sources of Funds'!$N$38="", 0,-'Part III-Sources of Funds'!$N$38)</f>
        <v>0</v>
      </c>
      <c r="G114" s="18"/>
      <c r="H114" s="18"/>
      <c r="I114" s="18"/>
      <c r="J114" s="18"/>
      <c r="K114" s="18"/>
      <c r="M114" s="2745"/>
      <c r="N114" s="2746"/>
    </row>
    <row r="115" spans="1:14" ht="13.15" customHeight="1">
      <c r="A115" s="22" t="str">
        <f>$A85</f>
        <v>Mortgage C</v>
      </c>
      <c r="B115" s="2887">
        <f>IF('Part III-Sources of Funds'!$N$39="", 0,-'Part III-Sources of Funds'!$N$39)</f>
        <v>0</v>
      </c>
      <c r="C115" s="2887">
        <f>IF('Part III-Sources of Funds'!$N$39="", 0,-'Part III-Sources of Funds'!$N$39)</f>
        <v>0</v>
      </c>
      <c r="D115" s="2887">
        <f>IF('Part III-Sources of Funds'!$N$39="", 0,-'Part III-Sources of Funds'!$N$39)</f>
        <v>0</v>
      </c>
      <c r="E115" s="2887">
        <f>IF('Part III-Sources of Funds'!$N$39="", 0,-'Part III-Sources of Funds'!$N$39)</f>
        <v>0</v>
      </c>
      <c r="F115" s="2887">
        <f>IF('Part III-Sources of Funds'!$N$39="", 0,-'Part III-Sources of Funds'!$N$39)</f>
        <v>0</v>
      </c>
      <c r="G115" s="18"/>
      <c r="H115" s="18"/>
      <c r="I115" s="18"/>
      <c r="J115" s="18"/>
      <c r="K115" s="18"/>
      <c r="M115" s="2745"/>
      <c r="N115" s="2746"/>
    </row>
    <row r="116" spans="1:14" ht="13.15" customHeight="1">
      <c r="A116" s="22" t="str">
        <f>$A86</f>
        <v>D/S Other Source</v>
      </c>
      <c r="B116" s="2887">
        <f>IF('Part III-Sources of Funds'!$N$40="", 0,-'Part III-Sources of Funds'!$N$40)</f>
        <v>0</v>
      </c>
      <c r="C116" s="2887">
        <f>IF('Part III-Sources of Funds'!$N$40="", 0,-'Part III-Sources of Funds'!$N$40)</f>
        <v>0</v>
      </c>
      <c r="D116" s="2887">
        <f>IF('Part III-Sources of Funds'!$N$40="", 0,-'Part III-Sources of Funds'!$N$40)</f>
        <v>0</v>
      </c>
      <c r="E116" s="2887">
        <f>IF('Part III-Sources of Funds'!$N$40="", 0,-'Part III-Sources of Funds'!$N$40)</f>
        <v>0</v>
      </c>
      <c r="F116" s="2887">
        <f>IF('Part III-Sources of Funds'!$N$40="", 0,-'Part III-Sources of Funds'!$N$40)</f>
        <v>0</v>
      </c>
      <c r="G116" s="18"/>
      <c r="H116" s="18"/>
      <c r="I116" s="18"/>
      <c r="J116" s="18"/>
      <c r="K116" s="18"/>
      <c r="M116" s="2745"/>
      <c r="N116" s="2746"/>
    </row>
    <row r="117" spans="1:14" ht="13.15" customHeight="1">
      <c r="A117" s="22" t="s">
        <v>794</v>
      </c>
      <c r="B117" s="2888"/>
      <c r="C117" s="2888"/>
      <c r="D117" s="2888"/>
      <c r="E117" s="2888"/>
      <c r="F117" s="2888"/>
      <c r="G117" s="18"/>
      <c r="H117" s="18"/>
      <c r="I117" s="18"/>
      <c r="J117" s="18"/>
      <c r="K117" s="18"/>
      <c r="M117" s="2745"/>
      <c r="N117" s="2746"/>
    </row>
    <row r="118" spans="1:14" ht="13.15" customHeight="1">
      <c r="A118" s="22" t="s">
        <v>1206</v>
      </c>
      <c r="B118" s="2887">
        <f>+K88</f>
        <v>-18750</v>
      </c>
      <c r="C118" s="2887">
        <f>+B118</f>
        <v>-18750</v>
      </c>
      <c r="D118" s="2887">
        <f>+C118</f>
        <v>-18750</v>
      </c>
      <c r="E118" s="2887">
        <f>+D118</f>
        <v>-18750</v>
      </c>
      <c r="F118" s="2887">
        <f>+E118</f>
        <v>-18750</v>
      </c>
      <c r="G118" s="18"/>
      <c r="H118" s="18"/>
      <c r="I118" s="18"/>
      <c r="J118" s="18"/>
      <c r="K118" s="18"/>
      <c r="M118" s="2745"/>
      <c r="N118" s="2746"/>
    </row>
    <row r="119" spans="1:14" ht="13.15" customHeight="1">
      <c r="A119" s="22" t="s">
        <v>1249</v>
      </c>
      <c r="B119" s="2889">
        <f>IF('Part III-Sources of Funds'!$N$42="", 0,-'Part III-Sources of Funds'!$N$42)</f>
        <v>0</v>
      </c>
      <c r="C119" s="2889">
        <f>IF('Part III-Sources of Funds'!$N$42="", 0,-'Part III-Sources of Funds'!$N$42)</f>
        <v>0</v>
      </c>
      <c r="D119" s="2889">
        <f>IF('Part III-Sources of Funds'!$N$42="", 0,-'Part III-Sources of Funds'!$N$42)</f>
        <v>0</v>
      </c>
      <c r="E119" s="2889">
        <f>IF('Part III-Sources of Funds'!$N$42="", 0,-'Part III-Sources of Funds'!$N$42)</f>
        <v>0</v>
      </c>
      <c r="F119" s="2889">
        <f>IF('Part III-Sources of Funds'!$N$42="", 0,-'Part III-Sources of Funds'!$N$42)</f>
        <v>0</v>
      </c>
      <c r="G119" s="18"/>
      <c r="H119" s="18"/>
      <c r="I119" s="18"/>
      <c r="J119" s="18"/>
      <c r="K119" s="18"/>
      <c r="M119" s="2745"/>
      <c r="N119" s="2746"/>
    </row>
    <row r="120" spans="1:14" ht="13.15" customHeight="1">
      <c r="A120" s="22" t="s">
        <v>1207</v>
      </c>
      <c r="B120" s="23">
        <f>SUM(B112:B119)</f>
        <v>-156928.94835573202</v>
      </c>
      <c r="C120" s="23">
        <f>SUM(C112:C119)</f>
        <v>-184014.19224421121</v>
      </c>
      <c r="D120" s="23">
        <f>SUM(D112:D119)</f>
        <v>-212716.06121076451</v>
      </c>
      <c r="E120" s="23">
        <f>SUM(E112:E119)</f>
        <v>-243099.11816296529</v>
      </c>
      <c r="F120" s="24">
        <f>SUM(F112:F119)</f>
        <v>-275232.14537871635</v>
      </c>
      <c r="G120" s="18"/>
      <c r="H120" s="18"/>
      <c r="I120" s="18"/>
      <c r="J120" s="18"/>
      <c r="K120" s="18"/>
      <c r="M120" s="2745"/>
      <c r="N120" s="2746"/>
    </row>
    <row r="121" spans="1:14" ht="13.15" customHeight="1">
      <c r="A121" s="22" t="str">
        <f>$A91</f>
        <v>DCR Mortgage A</v>
      </c>
      <c r="B121" s="25">
        <f>IF(B113=0,"",-B112/B113)</f>
        <v>0.76042006167946408</v>
      </c>
      <c r="C121" s="25">
        <f>IF(C113=0,"",-C112/C113)</f>
        <v>0.71345863132110854</v>
      </c>
      <c r="D121" s="25">
        <f>IF(D113=0,"",-D112/D113)</f>
        <v>0.6636942346563709</v>
      </c>
      <c r="E121" s="25">
        <f>IF(E113=0,"",-E112/E113)</f>
        <v>0.61101493005015928</v>
      </c>
      <c r="F121" s="26">
        <f>IF(F113=0,"",-F112/F113)</f>
        <v>0.55530146016194837</v>
      </c>
      <c r="G121" s="18"/>
      <c r="H121" s="18"/>
      <c r="I121" s="18"/>
      <c r="J121" s="18"/>
      <c r="K121" s="18"/>
      <c r="M121" s="2745"/>
      <c r="N121" s="2746"/>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745"/>
      <c r="N122" s="2746"/>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745"/>
      <c r="N123" s="2746"/>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745"/>
      <c r="N124" s="2746"/>
    </row>
    <row r="125" spans="1:14" ht="13.15" customHeight="1">
      <c r="A125" s="472" t="s">
        <v>4200</v>
      </c>
      <c r="B125" s="25">
        <f>IF(AND(B113=0,B114=0,B115=0,B116=0),"",-B112/(B113+B114+B115+B116))</f>
        <v>0.76042006167946408</v>
      </c>
      <c r="C125" s="25">
        <f>IF(AND(C113=0,C114=0,C115=0,C116=0),"",-C112/(C113+C114+C115+C116))</f>
        <v>0.71345863132110854</v>
      </c>
      <c r="D125" s="25">
        <f>IF(AND(D113=0,D114=0,D115=0,D116=0),"",-D112/(D113+D114+D115+D116))</f>
        <v>0.6636942346563709</v>
      </c>
      <c r="E125" s="25">
        <f>IF(AND(E113=0,E114=0,E115=0,E116=0),"",-E112/(E113+E114+E115+E116))</f>
        <v>0.61101493005015928</v>
      </c>
      <c r="F125" s="26">
        <f>IF(AND(F113=0,F114=0,F115=0,F116=0),"",-F112/(F113+F114+F115+F116))</f>
        <v>0.55530146016194837</v>
      </c>
      <c r="G125" s="18"/>
      <c r="H125" s="18"/>
      <c r="I125" s="18"/>
      <c r="J125" s="18"/>
      <c r="K125" s="18"/>
      <c r="M125" s="2745"/>
      <c r="N125" s="2746"/>
    </row>
    <row r="126" spans="1:14" ht="13.15" customHeight="1">
      <c r="A126" s="22" t="s">
        <v>801</v>
      </c>
      <c r="B126" s="293">
        <f>IF(OR(B110="Choose mgt fee",B110="Choose One!"),"",(B104+B105+B106+B107+B108) / -(B109+B110+B111))</f>
        <v>1.1141393365013754</v>
      </c>
      <c r="C126" s="293">
        <f>IF(OR(C110="Choose mgt fee",C110="Choose One!"),"",(C104+C105+C106+C107+C108) / -(C109+C110+C111))</f>
        <v>1.1040387725586751</v>
      </c>
      <c r="D126" s="293">
        <f>IF(OR(D110="Choose mgt fee",D110="Choose One!"),"",(D104+D105+D106+D107+D108) / -(D109+D110+D111))</f>
        <v>1.0940235493547432</v>
      </c>
      <c r="E126" s="293">
        <f>IF(OR(E110="Choose mgt fee",E110="Choose One!"),"",(E104+E105+E106+E107+E108) / -(E109+E110+E111))</f>
        <v>1.0840930568184843</v>
      </c>
      <c r="F126" s="851">
        <f>IF(OR(F110="Choose mgt fee",F110="Choose One!"),"",(F104+F105+F106+F107+F108) / -(F109+F110+F111))</f>
        <v>1.0742461987526286</v>
      </c>
      <c r="G126" s="18"/>
      <c r="H126" s="18"/>
      <c r="I126" s="18"/>
      <c r="J126" s="18"/>
      <c r="K126" s="18"/>
      <c r="M126" s="2745"/>
      <c r="N126" s="2746"/>
    </row>
    <row r="127" spans="1:14" ht="13.15" customHeight="1">
      <c r="A127" s="472" t="s">
        <v>2705</v>
      </c>
      <c r="B127" s="2890">
        <f>IF('Part III-Sources of Funds'!$I$37="","",-FV('Part III-Sources of Funds'!$K$37/12,12,B113/12,K97))</f>
        <v>4353143.6782044517</v>
      </c>
      <c r="C127" s="2890">
        <f>IF('Part III-Sources of Funds'!$I$37="","",-FV('Part III-Sources of Funds'!$K$37/12,12,C113/12,B127))</f>
        <v>3943050.1641339064</v>
      </c>
      <c r="D127" s="2890">
        <f>IF('Part III-Sources of Funds'!$I$37="","",-FV('Part III-Sources of Funds'!$K$37/12,12,D113/12,C127))</f>
        <v>3516248.8075587284</v>
      </c>
      <c r="E127" s="2890">
        <f>IF('Part III-Sources of Funds'!$I$37="","",-FV('Part III-Sources of Funds'!$K$37/12,12,E113/12,D127))</f>
        <v>3072058.9051964181</v>
      </c>
      <c r="F127" s="2890">
        <f>IF('Part III-Sources of Funds'!$I$37="","",-FV('Part III-Sources of Funds'!$K$37/12,12,F113/12,E127))</f>
        <v>2609772.020862476</v>
      </c>
      <c r="G127" s="18"/>
      <c r="H127" s="18"/>
      <c r="I127" s="18"/>
      <c r="J127" s="18"/>
      <c r="K127" s="18"/>
      <c r="M127" s="2745"/>
      <c r="N127" s="2746"/>
    </row>
    <row r="128" spans="1:14" ht="13.15" customHeight="1">
      <c r="A128" s="472" t="s">
        <v>2706</v>
      </c>
      <c r="B128" s="2887" t="str">
        <f>IF('Part III-Sources of Funds'!$I$38="","",-FV('Part III-Sources of Funds'!$K$38/12,12,B114/12,K98))</f>
        <v/>
      </c>
      <c r="C128" s="2887" t="str">
        <f>IF('Part III-Sources of Funds'!$I$38="","",-FV('Part III-Sources of Funds'!$K$38/12,12,C114/12,B128))</f>
        <v/>
      </c>
      <c r="D128" s="2887" t="str">
        <f>IF('Part III-Sources of Funds'!$I$38="","",-FV('Part III-Sources of Funds'!$K$38/12,12,D114/12,C128))</f>
        <v/>
      </c>
      <c r="E128" s="2887" t="str">
        <f>IF('Part III-Sources of Funds'!$I$38="","",-FV('Part III-Sources of Funds'!$K$38/12,12,E114/12,D128))</f>
        <v/>
      </c>
      <c r="F128" s="2887" t="str">
        <f>IF('Part III-Sources of Funds'!$I$38="","",-FV('Part III-Sources of Funds'!$K$38/12,12,F114/12,E128))</f>
        <v/>
      </c>
      <c r="G128" s="18"/>
      <c r="H128" s="18"/>
      <c r="I128" s="18"/>
      <c r="J128" s="18"/>
      <c r="K128" s="18"/>
      <c r="M128" s="2745"/>
      <c r="N128" s="2746"/>
    </row>
    <row r="129" spans="1:14" ht="13.15" customHeight="1">
      <c r="A129" s="472" t="s">
        <v>2707</v>
      </c>
      <c r="B129" s="2887" t="str">
        <f>IF('Part III-Sources of Funds'!$I$39="","",-FV('Part III-Sources of Funds'!$K$39/12,12,B115/12,K99))</f>
        <v/>
      </c>
      <c r="C129" s="2887" t="str">
        <f>IF('Part III-Sources of Funds'!$I$39="","",-FV('Part III-Sources of Funds'!$K$39/12,12,C115/12,B129))</f>
        <v/>
      </c>
      <c r="D129" s="2887" t="str">
        <f>IF('Part III-Sources of Funds'!$I$39="","",-FV('Part III-Sources of Funds'!$K$39/12,12,D115/12,C129))</f>
        <v/>
      </c>
      <c r="E129" s="2887" t="str">
        <f>IF('Part III-Sources of Funds'!$I$39="","",-FV('Part III-Sources of Funds'!$K$39/12,12,E115/12,D129))</f>
        <v/>
      </c>
      <c r="F129" s="2887" t="str">
        <f>IF('Part III-Sources of Funds'!$I$39="","",-FV('Part III-Sources of Funds'!$K$39/12,12,F115/12,E129))</f>
        <v/>
      </c>
      <c r="G129" s="18"/>
      <c r="H129" s="18"/>
      <c r="I129" s="18"/>
      <c r="J129" s="18"/>
      <c r="K129" s="18"/>
      <c r="M129" s="2745"/>
      <c r="N129" s="2746"/>
    </row>
    <row r="130" spans="1:14" ht="13.15" customHeight="1">
      <c r="A130" s="22" t="s">
        <v>816</v>
      </c>
      <c r="B130" s="2887" t="str">
        <f>IF('Part III-Sources of Funds'!$I$40="","",-FV('Part III-Sources of Funds'!$K$40/12,12,B116/12,K100))</f>
        <v/>
      </c>
      <c r="C130" s="2887" t="str">
        <f>IF('Part III-Sources of Funds'!$I$40="","",-FV('Part III-Sources of Funds'!$K$40/12,12,C116/12,B130))</f>
        <v/>
      </c>
      <c r="D130" s="2887" t="str">
        <f>IF('Part III-Sources of Funds'!$I$40="","",-FV('Part III-Sources of Funds'!$K$40/12,12,D116/12,C130))</f>
        <v/>
      </c>
      <c r="E130" s="2887" t="str">
        <f>IF('Part III-Sources of Funds'!$I$40="","",-FV('Part III-Sources of Funds'!$K$40/12,12,E116/12,D130))</f>
        <v/>
      </c>
      <c r="F130" s="2887" t="str">
        <f>IF('Part III-Sources of Funds'!$I$40="","",-FV('Part III-Sources of Funds'!$K$40/12,12,F116/12,E130))</f>
        <v/>
      </c>
      <c r="G130" s="18"/>
      <c r="H130" s="18"/>
      <c r="I130" s="18"/>
      <c r="J130" s="18"/>
      <c r="K130" s="18"/>
      <c r="M130" s="2745"/>
      <c r="N130" s="2746"/>
    </row>
    <row r="131" spans="1:14" ht="13.15" customHeight="1">
      <c r="A131" s="27" t="s">
        <v>1284</v>
      </c>
      <c r="B131" s="2889">
        <f>IF('Part III-Sources of Funds'!$I$42="","",-FV('Part III-Sources of Funds'!$K$42/12,12,B119/12,K101))</f>
        <v>0</v>
      </c>
      <c r="C131" s="2889">
        <f>IF('Part III-Sources of Funds'!$I$42="","",-FV('Part III-Sources of Funds'!$K$42/12,12,C119/12,B131))</f>
        <v>0</v>
      </c>
      <c r="D131" s="2889">
        <f>IF('Part III-Sources of Funds'!$I$42="","",-FV('Part III-Sources of Funds'!$K$42/12,12,D119/12,C131))</f>
        <v>0</v>
      </c>
      <c r="E131" s="2889">
        <f>IF('Part III-Sources of Funds'!$I$42="","",-FV('Part III-Sources of Funds'!$K$42/12,12,E119/12,D131))</f>
        <v>0</v>
      </c>
      <c r="F131" s="2889">
        <f>IF('Part III-Sources of Funds'!$I$42="","",-FV('Part III-Sources of Funds'!$K$42/12,12,F119/12,E131))</f>
        <v>0</v>
      </c>
      <c r="G131" s="18"/>
      <c r="H131" s="18"/>
      <c r="I131" s="18"/>
      <c r="J131" s="18"/>
      <c r="K131" s="18"/>
      <c r="M131" s="2748"/>
      <c r="N131" s="2749"/>
    </row>
    <row r="132" spans="1:14" ht="4.1500000000000004" customHeight="1"/>
    <row r="133" spans="1:14" ht="12" customHeight="1">
      <c r="A133" s="14" t="s">
        <v>592</v>
      </c>
      <c r="B133" s="14"/>
      <c r="G133" s="14" t="s">
        <v>1068</v>
      </c>
    </row>
    <row r="134" spans="1:14" ht="12" customHeight="1">
      <c r="B134" s="32"/>
    </row>
    <row r="135" spans="1:14" ht="210" customHeight="1">
      <c r="A135" s="2574" t="s">
        <v>4360</v>
      </c>
      <c r="B135" s="2891"/>
      <c r="C135" s="2891"/>
      <c r="D135" s="2891"/>
      <c r="E135" s="2891"/>
      <c r="F135" s="2892"/>
      <c r="G135" s="2893"/>
      <c r="H135" s="2894"/>
      <c r="I135" s="2894"/>
      <c r="J135" s="2894"/>
      <c r="K135" s="2895"/>
      <c r="M135" s="1936" t="s">
        <v>2796</v>
      </c>
      <c r="N135" s="1936"/>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AuJvCuDDBHRIgXNq5ZHqHvOcf2ZMdG1i+P7c1MLYkmtO6omfRuwZesl4lT5gVMpmt7zH6pMTjAk9wND6cJH1ww==" saltValue="l+oViT4Q9NMYBqkkOcwwS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0 B67:K71 B83:K89 B97:K101 B113:F119 B127:F131 B4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20" zoomScaleNormal="120" zoomScaleSheetLayoutView="40" workbookViewId="0">
      <pane ySplit="1470" topLeftCell="A347"/>
      <selection sqref="A1:XFD1048576"/>
      <selection pane="bottomLeft" activeCell="I351" sqref="I351"/>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945" t="str">
        <f>CONCATENATE("PART EIGHT - THRESHOLD CRITERIA","  -  ",'Part I-Project Information'!$O$4," ",'Part I-Project Information'!$F$24,", ",'Part I-Project Information'!F28,", ",'Part I-Project Information'!J29," County")</f>
        <v>PART EIGHT - THRESHOLD CRITERIA  -  2016-524 Wheat Street Tower, Atlanta, Fulton County</v>
      </c>
      <c r="B1" s="1946"/>
      <c r="C1" s="1946"/>
      <c r="D1" s="1946"/>
      <c r="E1" s="1946"/>
      <c r="F1" s="1946"/>
      <c r="G1" s="1946"/>
      <c r="H1" s="1946"/>
      <c r="I1" s="1946"/>
      <c r="J1" s="1946"/>
      <c r="K1" s="1946"/>
      <c r="L1" s="1946"/>
      <c r="M1" s="1946"/>
      <c r="N1" s="1946"/>
      <c r="O1" s="1946"/>
      <c r="P1" s="1946"/>
      <c r="Q1" s="1946"/>
    </row>
    <row r="2" spans="1:32" s="28" customFormat="1" ht="3" customHeight="1">
      <c r="S2" s="36"/>
      <c r="T2" s="36"/>
      <c r="AE2" s="125"/>
      <c r="AF2" s="125"/>
    </row>
    <row r="3" spans="1:32" ht="13.5" customHeight="1">
      <c r="A3" s="2173"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173"/>
      <c r="C3" s="2173"/>
      <c r="D3" s="2173"/>
      <c r="E3" s="2173"/>
      <c r="F3" s="2173"/>
      <c r="G3" s="2173"/>
      <c r="H3" s="2173"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173"/>
      <c r="J3" s="2173"/>
      <c r="K3" s="2173"/>
      <c r="L3" s="2173"/>
      <c r="M3" s="2173"/>
      <c r="N3" s="2174"/>
      <c r="O3" s="2175" t="s">
        <v>968</v>
      </c>
      <c r="P3" s="2176"/>
      <c r="Q3" s="639" t="s">
        <v>1912</v>
      </c>
    </row>
    <row r="4" spans="1:32" ht="3" customHeight="1" thickBot="1">
      <c r="A4" s="1810"/>
      <c r="B4" s="2167"/>
      <c r="C4" s="2167"/>
      <c r="D4" s="2167"/>
      <c r="E4" s="1810"/>
      <c r="F4" s="1810"/>
      <c r="G4" s="1810"/>
      <c r="H4" s="1810"/>
      <c r="I4" s="1810"/>
      <c r="J4" s="1810"/>
      <c r="K4" s="1810"/>
      <c r="L4" s="1810"/>
      <c r="M4" s="1810"/>
      <c r="N4" s="1810"/>
      <c r="P4" s="1810"/>
      <c r="Q4" s="1810"/>
    </row>
    <row r="5" spans="1:32" ht="10.9" hidden="1" customHeight="1">
      <c r="A5" s="1810"/>
      <c r="B5" s="1810"/>
      <c r="C5" s="1810"/>
      <c r="D5" s="1810"/>
      <c r="E5" s="1810"/>
      <c r="F5" s="1810"/>
      <c r="G5" s="1810"/>
      <c r="H5" s="1810"/>
      <c r="I5" s="1810"/>
      <c r="J5" s="1810"/>
      <c r="K5" s="1810"/>
      <c r="L5" s="1810"/>
      <c r="M5" s="1810"/>
      <c r="N5" s="1810"/>
      <c r="P5" s="1810"/>
      <c r="Q5" s="1810"/>
    </row>
    <row r="6" spans="1:32" ht="15" customHeight="1" thickBot="1">
      <c r="A6" s="136" t="s">
        <v>586</v>
      </c>
      <c r="J6" s="1810"/>
      <c r="K6" s="1857" t="s">
        <v>4221</v>
      </c>
      <c r="L6" s="1858"/>
      <c r="M6" s="1859"/>
      <c r="N6" s="1810"/>
      <c r="P6" s="2168"/>
      <c r="Q6" s="2169"/>
    </row>
    <row r="7" spans="1:32" ht="12.6" customHeight="1">
      <c r="A7" s="137" t="s">
        <v>3695</v>
      </c>
      <c r="C7" s="138"/>
      <c r="D7" s="138"/>
      <c r="J7" s="1810"/>
      <c r="K7" s="1810"/>
      <c r="L7" s="1810"/>
      <c r="M7" s="1810"/>
      <c r="N7" s="1810"/>
    </row>
    <row r="8" spans="1:32" ht="24.6" customHeight="1">
      <c r="A8" s="2170" t="s">
        <v>1462</v>
      </c>
      <c r="B8" s="2171"/>
      <c r="C8" s="2171"/>
      <c r="D8" s="2171"/>
      <c r="E8" s="2171"/>
      <c r="F8" s="2171"/>
      <c r="G8" s="2171"/>
      <c r="H8" s="2171"/>
      <c r="I8" s="2171"/>
      <c r="J8" s="2171"/>
      <c r="K8" s="2171"/>
      <c r="L8" s="2171"/>
      <c r="M8" s="2171"/>
      <c r="N8" s="2171"/>
      <c r="O8" s="2171"/>
      <c r="P8" s="2171"/>
      <c r="Q8" s="2172"/>
      <c r="R8" s="2108" t="s">
        <v>2107</v>
      </c>
      <c r="S8" s="1837"/>
    </row>
    <row r="9" spans="1:32" ht="24.6" customHeight="1">
      <c r="A9" s="2161" t="s">
        <v>235</v>
      </c>
      <c r="B9" s="2162"/>
      <c r="C9" s="2162"/>
      <c r="D9" s="2162"/>
      <c r="E9" s="2162"/>
      <c r="F9" s="2162"/>
      <c r="G9" s="2162"/>
      <c r="H9" s="2162"/>
      <c r="I9" s="2162"/>
      <c r="J9" s="2162"/>
      <c r="K9" s="2162"/>
      <c r="L9" s="2162"/>
      <c r="M9" s="2162"/>
      <c r="N9" s="2162"/>
      <c r="O9" s="2162"/>
      <c r="P9" s="2162"/>
      <c r="Q9" s="2163"/>
      <c r="R9" s="2108"/>
      <c r="S9" s="1837"/>
    </row>
    <row r="10" spans="1:32" ht="24.6" customHeight="1">
      <c r="A10" s="2161" t="s">
        <v>1458</v>
      </c>
      <c r="B10" s="2162"/>
      <c r="C10" s="2162"/>
      <c r="D10" s="2162"/>
      <c r="E10" s="2162"/>
      <c r="F10" s="2162"/>
      <c r="G10" s="2162"/>
      <c r="H10" s="2162"/>
      <c r="I10" s="2162"/>
      <c r="J10" s="2162"/>
      <c r="K10" s="2162"/>
      <c r="L10" s="2162"/>
      <c r="M10" s="2162"/>
      <c r="N10" s="2162"/>
      <c r="O10" s="2162"/>
      <c r="P10" s="2162"/>
      <c r="Q10" s="2163"/>
      <c r="R10" s="2108"/>
      <c r="S10" s="1837"/>
    </row>
    <row r="11" spans="1:32" ht="24.6" customHeight="1">
      <c r="A11" s="2161" t="s">
        <v>1459</v>
      </c>
      <c r="B11" s="2162"/>
      <c r="C11" s="2162"/>
      <c r="D11" s="2162"/>
      <c r="E11" s="2162"/>
      <c r="F11" s="2162"/>
      <c r="G11" s="2162"/>
      <c r="H11" s="2162"/>
      <c r="I11" s="2162"/>
      <c r="J11" s="2162"/>
      <c r="K11" s="2162"/>
      <c r="L11" s="2162"/>
      <c r="M11" s="2162"/>
      <c r="N11" s="2162"/>
      <c r="O11" s="2162"/>
      <c r="P11" s="2162"/>
      <c r="Q11" s="2163"/>
      <c r="R11" s="2108"/>
      <c r="S11" s="1837"/>
    </row>
    <row r="12" spans="1:32" ht="24" customHeight="1">
      <c r="A12" s="2161" t="s">
        <v>1460</v>
      </c>
      <c r="B12" s="2162"/>
      <c r="C12" s="2162"/>
      <c r="D12" s="2162"/>
      <c r="E12" s="2162"/>
      <c r="F12" s="2162"/>
      <c r="G12" s="2162"/>
      <c r="H12" s="2162"/>
      <c r="I12" s="2162"/>
      <c r="J12" s="2162"/>
      <c r="K12" s="2162"/>
      <c r="L12" s="2162"/>
      <c r="M12" s="2162"/>
      <c r="N12" s="2162"/>
      <c r="O12" s="2162"/>
      <c r="P12" s="2162"/>
      <c r="Q12" s="2163"/>
      <c r="R12" s="1781"/>
      <c r="S12" s="1781"/>
    </row>
    <row r="13" spans="1:32" ht="11.25" customHeight="1">
      <c r="A13" s="2161" t="s">
        <v>1461</v>
      </c>
      <c r="B13" s="2162"/>
      <c r="C13" s="2162"/>
      <c r="D13" s="2162"/>
      <c r="E13" s="2162"/>
      <c r="F13" s="2162"/>
      <c r="G13" s="2162"/>
      <c r="H13" s="2162"/>
      <c r="I13" s="2162"/>
      <c r="J13" s="2162"/>
      <c r="K13" s="2162"/>
      <c r="L13" s="2162"/>
      <c r="M13" s="2162"/>
      <c r="N13" s="2162"/>
      <c r="O13" s="2162"/>
      <c r="P13" s="2162"/>
      <c r="Q13" s="2163"/>
      <c r="R13" s="1781"/>
      <c r="S13" s="1781"/>
    </row>
    <row r="14" spans="1:32" ht="11.25" customHeight="1">
      <c r="A14" s="2161" t="s">
        <v>1463</v>
      </c>
      <c r="B14" s="2162"/>
      <c r="C14" s="2162"/>
      <c r="D14" s="2162"/>
      <c r="E14" s="2162"/>
      <c r="F14" s="2162"/>
      <c r="G14" s="2162"/>
      <c r="H14" s="2162"/>
      <c r="I14" s="2162"/>
      <c r="J14" s="2162"/>
      <c r="K14" s="2162"/>
      <c r="L14" s="2162"/>
      <c r="M14" s="2162"/>
      <c r="N14" s="2162"/>
      <c r="O14" s="2162"/>
      <c r="P14" s="2162"/>
      <c r="Q14" s="2163"/>
    </row>
    <row r="15" spans="1:32" ht="11.25" customHeight="1">
      <c r="A15" s="2161" t="s">
        <v>2094</v>
      </c>
      <c r="B15" s="2162"/>
      <c r="C15" s="2162"/>
      <c r="D15" s="2162"/>
      <c r="E15" s="2162"/>
      <c r="F15" s="2162"/>
      <c r="G15" s="2162"/>
      <c r="H15" s="2162"/>
      <c r="I15" s="2162"/>
      <c r="J15" s="2162"/>
      <c r="K15" s="2162"/>
      <c r="L15" s="2162"/>
      <c r="M15" s="2162"/>
      <c r="N15" s="2162"/>
      <c r="O15" s="2162"/>
      <c r="P15" s="2162"/>
      <c r="Q15" s="2163"/>
      <c r="R15" s="2108" t="s">
        <v>2107</v>
      </c>
      <c r="S15" s="2109"/>
    </row>
    <row r="16" spans="1:32" ht="11.25" customHeight="1">
      <c r="A16" s="2161" t="s">
        <v>2095</v>
      </c>
      <c r="B16" s="2162"/>
      <c r="C16" s="2162"/>
      <c r="D16" s="2162"/>
      <c r="E16" s="2162"/>
      <c r="F16" s="2162"/>
      <c r="G16" s="2162"/>
      <c r="H16" s="2162"/>
      <c r="I16" s="2162"/>
      <c r="J16" s="2162"/>
      <c r="K16" s="2162"/>
      <c r="L16" s="2162"/>
      <c r="M16" s="2162"/>
      <c r="N16" s="2162"/>
      <c r="O16" s="2162"/>
      <c r="P16" s="2162"/>
      <c r="Q16" s="2163"/>
      <c r="R16" s="2108"/>
      <c r="S16" s="2109"/>
    </row>
    <row r="17" spans="1:19" ht="11.25" customHeight="1">
      <c r="A17" s="2161" t="s">
        <v>2096</v>
      </c>
      <c r="B17" s="2162"/>
      <c r="C17" s="2162"/>
      <c r="D17" s="2162"/>
      <c r="E17" s="2162"/>
      <c r="F17" s="2162"/>
      <c r="G17" s="2162"/>
      <c r="H17" s="2162"/>
      <c r="I17" s="2162"/>
      <c r="J17" s="2162"/>
      <c r="K17" s="2162"/>
      <c r="L17" s="2162"/>
      <c r="M17" s="2162"/>
      <c r="N17" s="2162"/>
      <c r="O17" s="2162"/>
      <c r="P17" s="2162"/>
      <c r="Q17" s="2163"/>
      <c r="R17" s="2108"/>
      <c r="S17" s="2109"/>
    </row>
    <row r="18" spans="1:19" ht="11.25" customHeight="1">
      <c r="A18" s="2161" t="s">
        <v>2097</v>
      </c>
      <c r="B18" s="2162"/>
      <c r="C18" s="2162"/>
      <c r="D18" s="2162"/>
      <c r="E18" s="2162"/>
      <c r="F18" s="2162"/>
      <c r="G18" s="2162"/>
      <c r="H18" s="2162"/>
      <c r="I18" s="2162"/>
      <c r="J18" s="2162"/>
      <c r="K18" s="2162"/>
      <c r="L18" s="2162"/>
      <c r="M18" s="2162"/>
      <c r="N18" s="2162"/>
      <c r="O18" s="2162"/>
      <c r="P18" s="2162"/>
      <c r="Q18" s="2163"/>
      <c r="R18" s="2108"/>
      <c r="S18" s="2109"/>
    </row>
    <row r="19" spans="1:19" ht="11.25" customHeight="1">
      <c r="A19" s="2161" t="s">
        <v>2098</v>
      </c>
      <c r="B19" s="2162"/>
      <c r="C19" s="2162"/>
      <c r="D19" s="2162"/>
      <c r="E19" s="2162"/>
      <c r="F19" s="2162"/>
      <c r="G19" s="2162"/>
      <c r="H19" s="2162"/>
      <c r="I19" s="2162"/>
      <c r="J19" s="2162"/>
      <c r="K19" s="2162"/>
      <c r="L19" s="2162"/>
      <c r="M19" s="2162"/>
      <c r="N19" s="2162"/>
      <c r="O19" s="2162"/>
      <c r="P19" s="2162"/>
      <c r="Q19" s="2163"/>
      <c r="R19" s="2108"/>
      <c r="S19" s="2109"/>
    </row>
    <row r="20" spans="1:19" ht="11.25" customHeight="1">
      <c r="A20" s="2161" t="s">
        <v>2099</v>
      </c>
      <c r="B20" s="2162"/>
      <c r="C20" s="2162"/>
      <c r="D20" s="2162"/>
      <c r="E20" s="2162"/>
      <c r="F20" s="2162"/>
      <c r="G20" s="2162"/>
      <c r="H20" s="2162"/>
      <c r="I20" s="2162"/>
      <c r="J20" s="2162"/>
      <c r="K20" s="2162"/>
      <c r="L20" s="2162"/>
      <c r="M20" s="2162"/>
      <c r="N20" s="2162"/>
      <c r="O20" s="2162"/>
      <c r="P20" s="2162"/>
      <c r="Q20" s="2163"/>
      <c r="R20" s="2108"/>
      <c r="S20" s="2109"/>
    </row>
    <row r="21" spans="1:19" ht="11.25" customHeight="1">
      <c r="A21" s="2161" t="s">
        <v>2100</v>
      </c>
      <c r="B21" s="2162"/>
      <c r="C21" s="2162"/>
      <c r="D21" s="2162"/>
      <c r="E21" s="2162"/>
      <c r="F21" s="2162"/>
      <c r="G21" s="2162"/>
      <c r="H21" s="2162"/>
      <c r="I21" s="2162"/>
      <c r="J21" s="2162"/>
      <c r="K21" s="2162"/>
      <c r="L21" s="2162"/>
      <c r="M21" s="2162"/>
      <c r="N21" s="2162"/>
      <c r="O21" s="2162"/>
      <c r="P21" s="2162"/>
      <c r="Q21" s="2163"/>
    </row>
    <row r="22" spans="1:19" ht="11.25" customHeight="1">
      <c r="A22" s="2161" t="s">
        <v>2101</v>
      </c>
      <c r="B22" s="2162"/>
      <c r="C22" s="2162"/>
      <c r="D22" s="2162"/>
      <c r="E22" s="2162"/>
      <c r="F22" s="2162"/>
      <c r="G22" s="2162"/>
      <c r="H22" s="2162"/>
      <c r="I22" s="2162"/>
      <c r="J22" s="2162"/>
      <c r="K22" s="2162"/>
      <c r="L22" s="2162"/>
      <c r="M22" s="2162"/>
      <c r="N22" s="2162"/>
      <c r="O22" s="2162"/>
      <c r="P22" s="2162"/>
      <c r="Q22" s="2163"/>
      <c r="R22" s="2108" t="s">
        <v>2107</v>
      </c>
      <c r="S22" s="2109"/>
    </row>
    <row r="23" spans="1:19" ht="11.25" customHeight="1">
      <c r="A23" s="2161" t="s">
        <v>2102</v>
      </c>
      <c r="B23" s="2162"/>
      <c r="C23" s="2162"/>
      <c r="D23" s="2162"/>
      <c r="E23" s="2162"/>
      <c r="F23" s="2162"/>
      <c r="G23" s="2162"/>
      <c r="H23" s="2162"/>
      <c r="I23" s="2162"/>
      <c r="J23" s="2162"/>
      <c r="K23" s="2162"/>
      <c r="L23" s="2162"/>
      <c r="M23" s="2162"/>
      <c r="N23" s="2162"/>
      <c r="O23" s="2162"/>
      <c r="P23" s="2162"/>
      <c r="Q23" s="2163"/>
      <c r="R23" s="2108"/>
      <c r="S23" s="2109"/>
    </row>
    <row r="24" spans="1:19" ht="11.25" customHeight="1">
      <c r="A24" s="2161" t="s">
        <v>2103</v>
      </c>
      <c r="B24" s="2162"/>
      <c r="C24" s="2162"/>
      <c r="D24" s="2162"/>
      <c r="E24" s="2162"/>
      <c r="F24" s="2162"/>
      <c r="G24" s="2162"/>
      <c r="H24" s="2162"/>
      <c r="I24" s="2162"/>
      <c r="J24" s="2162"/>
      <c r="K24" s="2162"/>
      <c r="L24" s="2162"/>
      <c r="M24" s="2162"/>
      <c r="N24" s="2162"/>
      <c r="O24" s="2162"/>
      <c r="P24" s="2162"/>
      <c r="Q24" s="2163"/>
      <c r="R24" s="2108"/>
      <c r="S24" s="2109"/>
    </row>
    <row r="25" spans="1:19" ht="11.25" customHeight="1">
      <c r="A25" s="2161" t="s">
        <v>2104</v>
      </c>
      <c r="B25" s="2162"/>
      <c r="C25" s="2162"/>
      <c r="D25" s="2162"/>
      <c r="E25" s="2162"/>
      <c r="F25" s="2162"/>
      <c r="G25" s="2162"/>
      <c r="H25" s="2162"/>
      <c r="I25" s="2162"/>
      <c r="J25" s="2162"/>
      <c r="K25" s="2162"/>
      <c r="L25" s="2162"/>
      <c r="M25" s="2162"/>
      <c r="N25" s="2162"/>
      <c r="O25" s="2162"/>
      <c r="P25" s="2162"/>
      <c r="Q25" s="2163"/>
      <c r="R25" s="2108"/>
      <c r="S25" s="2109"/>
    </row>
    <row r="26" spans="1:19" ht="11.25" customHeight="1">
      <c r="A26" s="2161" t="s">
        <v>2105</v>
      </c>
      <c r="B26" s="2162"/>
      <c r="C26" s="2162"/>
      <c r="D26" s="2162"/>
      <c r="E26" s="2162"/>
      <c r="F26" s="2162"/>
      <c r="G26" s="2162"/>
      <c r="H26" s="2162"/>
      <c r="I26" s="2162"/>
      <c r="J26" s="2162"/>
      <c r="K26" s="2162"/>
      <c r="L26" s="2162"/>
      <c r="M26" s="2162"/>
      <c r="N26" s="2162"/>
      <c r="O26" s="2162"/>
      <c r="P26" s="2162"/>
      <c r="Q26" s="2163"/>
      <c r="R26" s="2108"/>
      <c r="S26" s="2109"/>
    </row>
    <row r="27" spans="1:19" ht="11.25" customHeight="1">
      <c r="A27" s="2164" t="s">
        <v>2106</v>
      </c>
      <c r="B27" s="2165"/>
      <c r="C27" s="2165"/>
      <c r="D27" s="2165"/>
      <c r="E27" s="2165"/>
      <c r="F27" s="2165"/>
      <c r="G27" s="2165"/>
      <c r="H27" s="2165"/>
      <c r="I27" s="2165"/>
      <c r="J27" s="2165"/>
      <c r="K27" s="2165"/>
      <c r="L27" s="2165"/>
      <c r="M27" s="2165"/>
      <c r="N27" s="2165"/>
      <c r="O27" s="2165"/>
      <c r="P27" s="2165"/>
      <c r="Q27" s="2166"/>
      <c r="R27" s="2108"/>
      <c r="S27" s="2109"/>
    </row>
    <row r="28" spans="1:19" ht="6" customHeight="1"/>
    <row r="29" spans="1:19" ht="13.9" customHeight="1">
      <c r="A29" s="139">
        <v>1</v>
      </c>
      <c r="B29" s="140" t="s">
        <v>2744</v>
      </c>
      <c r="C29" s="141"/>
      <c r="D29" s="92"/>
      <c r="E29" s="92"/>
      <c r="F29" s="92"/>
      <c r="G29" s="92"/>
      <c r="I29" s="1822"/>
      <c r="J29" s="1822"/>
      <c r="K29" s="1822"/>
      <c r="L29" s="1810"/>
      <c r="M29" s="1810"/>
      <c r="O29" s="142" t="s">
        <v>1938</v>
      </c>
      <c r="P29" s="2106"/>
      <c r="Q29" s="2107"/>
    </row>
    <row r="30" spans="1:19" ht="3" customHeight="1"/>
    <row r="31" spans="1:19" ht="12" customHeight="1">
      <c r="B31" s="152" t="s">
        <v>2058</v>
      </c>
      <c r="C31" s="54" t="s">
        <v>3883</v>
      </c>
      <c r="E31" s="1220"/>
      <c r="F31" s="1220"/>
      <c r="G31" s="1220"/>
      <c r="H31" s="1220"/>
      <c r="I31" s="43"/>
      <c r="J31" s="34"/>
      <c r="K31" s="43"/>
      <c r="L31" s="34"/>
      <c r="M31" s="34"/>
      <c r="O31" s="70" t="s">
        <v>618</v>
      </c>
      <c r="P31" s="2896" t="s">
        <v>3157</v>
      </c>
      <c r="Q31" s="629"/>
    </row>
    <row r="32" spans="1:19" ht="12" customHeight="1">
      <c r="B32" s="48" t="s">
        <v>2061</v>
      </c>
      <c r="C32" s="54" t="s">
        <v>746</v>
      </c>
      <c r="E32" s="1220"/>
      <c r="F32" s="1220"/>
      <c r="G32" s="1220"/>
      <c r="H32" s="1220"/>
      <c r="J32" s="2897" t="s">
        <v>4159</v>
      </c>
      <c r="K32" s="2898"/>
      <c r="L32" s="2898"/>
      <c r="M32" s="2898"/>
      <c r="N32" s="2899"/>
      <c r="O32" s="70"/>
      <c r="P32" s="70"/>
      <c r="Q32" s="70"/>
    </row>
    <row r="33" spans="1:295" ht="11.25" customHeight="1">
      <c r="B33" s="71" t="s">
        <v>1936</v>
      </c>
      <c r="C33" s="71"/>
      <c r="D33" s="71"/>
      <c r="E33" s="71"/>
      <c r="F33" s="71"/>
      <c r="G33" s="1822"/>
      <c r="H33" s="1822"/>
      <c r="I33" s="1822"/>
      <c r="J33" s="1822"/>
      <c r="K33" s="1810"/>
      <c r="L33" s="1810"/>
      <c r="M33" s="1810"/>
      <c r="N33" s="1810"/>
      <c r="O33" s="1810"/>
      <c r="P33" s="1219"/>
      <c r="S33" s="171"/>
      <c r="T33" s="171"/>
    </row>
    <row r="34" spans="1:295" ht="36" customHeight="1">
      <c r="A34" s="2900" t="s">
        <v>4361</v>
      </c>
      <c r="B34" s="2901"/>
      <c r="C34" s="2901"/>
      <c r="D34" s="2901"/>
      <c r="E34" s="2901"/>
      <c r="F34" s="2901"/>
      <c r="G34" s="2901"/>
      <c r="H34" s="2901"/>
      <c r="I34" s="2901"/>
      <c r="J34" s="2901"/>
      <c r="K34" s="2901"/>
      <c r="L34" s="2901"/>
      <c r="M34" s="2901"/>
      <c r="N34" s="2901"/>
      <c r="O34" s="2901"/>
      <c r="P34" s="2901"/>
      <c r="Q34" s="2902"/>
      <c r="R34" s="502" t="s">
        <v>1301</v>
      </c>
      <c r="S34" s="503"/>
      <c r="T34" s="171"/>
      <c r="U34" s="146"/>
      <c r="V34" s="146"/>
      <c r="W34" s="146"/>
      <c r="X34" s="146"/>
      <c r="Y34" s="146"/>
      <c r="Z34" s="146"/>
      <c r="AA34" s="146"/>
      <c r="AB34" s="146"/>
      <c r="AC34" s="146"/>
      <c r="AD34" s="146"/>
      <c r="AE34" s="529"/>
    </row>
    <row r="35" spans="1:295" ht="11.25" customHeight="1">
      <c r="B35" s="147" t="s">
        <v>1937</v>
      </c>
      <c r="C35" s="148"/>
      <c r="D35" s="1814"/>
      <c r="E35" s="1814"/>
      <c r="F35" s="1814"/>
      <c r="G35" s="1814"/>
      <c r="H35" s="1814"/>
      <c r="I35" s="1814"/>
      <c r="J35" s="1814"/>
      <c r="K35" s="1814"/>
      <c r="L35" s="1814"/>
      <c r="M35" s="1814"/>
      <c r="N35" s="1814"/>
      <c r="O35" s="1814"/>
      <c r="P35" s="1814"/>
    </row>
    <row r="36" spans="1:295" ht="36" customHeight="1">
      <c r="A36" s="2160"/>
      <c r="B36" s="2160"/>
      <c r="C36" s="2160"/>
      <c r="D36" s="2160"/>
      <c r="E36" s="2160"/>
      <c r="F36" s="2160"/>
      <c r="G36" s="2160"/>
      <c r="H36" s="2160"/>
      <c r="I36" s="2160"/>
      <c r="J36" s="2160"/>
      <c r="K36" s="2160"/>
      <c r="L36" s="2160"/>
      <c r="M36" s="2160"/>
      <c r="N36" s="2160"/>
      <c r="O36" s="2160"/>
      <c r="P36" s="2160"/>
      <c r="Q36" s="2160"/>
      <c r="R36" s="502" t="s">
        <v>1301</v>
      </c>
      <c r="S36" s="503"/>
    </row>
    <row r="37" spans="1:295" ht="3" customHeight="1">
      <c r="B37" s="1822"/>
      <c r="C37" s="1814"/>
      <c r="D37" s="1814"/>
      <c r="E37" s="1814"/>
      <c r="F37" s="1814"/>
      <c r="G37" s="1814"/>
      <c r="H37" s="1814"/>
      <c r="I37" s="1814"/>
      <c r="J37" s="1814"/>
      <c r="K37" s="1814"/>
      <c r="L37" s="1814"/>
      <c r="M37" s="1814"/>
      <c r="N37" s="1814"/>
      <c r="O37" s="1814"/>
      <c r="P37" s="1814"/>
      <c r="Q37" s="1810"/>
    </row>
    <row r="38" spans="1:295" ht="12.75" customHeight="1">
      <c r="A38" s="1818">
        <v>2</v>
      </c>
      <c r="B38" s="4" t="s">
        <v>2818</v>
      </c>
      <c r="C38" s="4"/>
      <c r="D38" s="4"/>
      <c r="E38" s="1814"/>
      <c r="G38" s="822"/>
      <c r="H38" s="822"/>
      <c r="I38" s="822"/>
      <c r="J38" s="43"/>
      <c r="L38" s="823"/>
      <c r="M38" s="823"/>
      <c r="N38" s="823"/>
      <c r="O38" s="142" t="s">
        <v>1938</v>
      </c>
      <c r="P38" s="2106"/>
      <c r="Q38" s="2107"/>
    </row>
    <row r="39" spans="1:295" ht="11.25" customHeight="1">
      <c r="A39" s="2180" t="s">
        <v>3696</v>
      </c>
      <c r="B39" s="2180"/>
      <c r="C39" s="2180"/>
      <c r="D39" s="2180"/>
      <c r="E39" s="2180"/>
      <c r="F39" s="2180"/>
      <c r="G39" s="2119" t="s">
        <v>2822</v>
      </c>
      <c r="H39" s="2120"/>
      <c r="I39" s="829"/>
      <c r="J39" s="43"/>
      <c r="K39" s="2189" t="s">
        <v>4050</v>
      </c>
      <c r="L39" s="2190"/>
      <c r="M39" s="2190"/>
      <c r="N39" s="2191"/>
    </row>
    <row r="40" spans="1:295" ht="11.25" customHeight="1">
      <c r="A40" s="2180"/>
      <c r="B40" s="2180"/>
      <c r="C40" s="2180"/>
      <c r="D40" s="2180"/>
      <c r="E40" s="2180"/>
      <c r="F40" s="2180"/>
      <c r="G40" s="2178" t="s">
        <v>359</v>
      </c>
      <c r="H40" s="2179"/>
      <c r="I40" s="829"/>
      <c r="J40" s="43"/>
      <c r="K40" s="2186" t="s">
        <v>4051</v>
      </c>
      <c r="L40" s="2187"/>
      <c r="M40" s="2187"/>
      <c r="N40" s="2188"/>
      <c r="P40" s="610" t="s">
        <v>2850</v>
      </c>
      <c r="Q40" s="2896" t="s">
        <v>3154</v>
      </c>
    </row>
    <row r="41" spans="1:295" ht="4.5" customHeight="1">
      <c r="A41" s="2180"/>
      <c r="B41" s="2180"/>
      <c r="C41" s="2180"/>
      <c r="D41" s="2180"/>
      <c r="E41" s="2180"/>
      <c r="F41" s="2180"/>
      <c r="G41" s="234"/>
      <c r="H41" s="234"/>
      <c r="I41" s="234"/>
      <c r="J41" s="43"/>
      <c r="K41" s="2192"/>
      <c r="L41" s="2192"/>
      <c r="M41" s="2192"/>
      <c r="N41" s="2192"/>
    </row>
    <row r="42" spans="1:295" s="87" customFormat="1" ht="10.5" customHeight="1">
      <c r="D42" s="830" t="s">
        <v>2821</v>
      </c>
      <c r="E42" s="36"/>
      <c r="F42" s="831" t="s">
        <v>3698</v>
      </c>
      <c r="G42" s="2100" t="s">
        <v>3697</v>
      </c>
      <c r="H42" s="2100"/>
      <c r="I42" s="2100"/>
      <c r="J42" s="36"/>
      <c r="K42" s="831" t="s">
        <v>3698</v>
      </c>
      <c r="L42" s="2100" t="s">
        <v>3697</v>
      </c>
      <c r="M42" s="2100"/>
      <c r="N42" s="2100"/>
      <c r="O42" s="36"/>
      <c r="R42" s="457"/>
      <c r="U42" s="36"/>
      <c r="V42" s="509"/>
      <c r="W42" s="509"/>
      <c r="X42" s="512"/>
      <c r="Y42" s="509"/>
      <c r="Z42" s="521"/>
      <c r="AA42" s="522"/>
      <c r="AB42" s="522"/>
      <c r="AC42" s="522"/>
      <c r="AD42" s="522"/>
      <c r="AE42" s="522"/>
      <c r="AF42" s="522"/>
      <c r="AG42" s="875"/>
      <c r="AH42" s="507"/>
      <c r="AI42" s="507"/>
      <c r="AJ42" s="507"/>
      <c r="AK42" s="507"/>
      <c r="AL42" s="507"/>
      <c r="AM42" s="507"/>
      <c r="AN42" s="507"/>
      <c r="AO42" s="507"/>
      <c r="AP42" s="507"/>
      <c r="AQ42" s="507"/>
      <c r="AR42" s="507"/>
      <c r="AS42" s="507"/>
      <c r="AT42" s="507"/>
      <c r="AU42" s="507"/>
      <c r="AV42" s="507"/>
      <c r="AW42" s="507"/>
      <c r="AX42" s="507"/>
      <c r="AY42" s="507"/>
      <c r="AZ42" s="507"/>
      <c r="BA42" s="507"/>
      <c r="BB42" s="507"/>
      <c r="BC42" s="507"/>
      <c r="BD42" s="507"/>
      <c r="BE42" s="507"/>
      <c r="BF42" s="507"/>
      <c r="BG42" s="507"/>
      <c r="BH42" s="507"/>
      <c r="BI42" s="507"/>
      <c r="BJ42" s="507"/>
      <c r="BK42" s="507"/>
      <c r="BL42" s="507"/>
      <c r="BM42" s="507"/>
      <c r="BN42" s="507"/>
      <c r="BO42" s="507"/>
      <c r="BP42" s="507"/>
      <c r="BQ42" s="507"/>
      <c r="BR42" s="507"/>
      <c r="BS42" s="507"/>
      <c r="BT42" s="507"/>
      <c r="BU42" s="507"/>
      <c r="BV42" s="507"/>
      <c r="BW42" s="507"/>
      <c r="BX42" s="507"/>
      <c r="BY42" s="507"/>
      <c r="BZ42" s="507"/>
      <c r="CA42" s="507"/>
      <c r="CB42" s="507"/>
      <c r="CC42" s="507"/>
      <c r="CD42" s="507"/>
      <c r="CE42" s="507"/>
      <c r="CF42" s="507"/>
      <c r="CG42" s="507"/>
      <c r="CH42" s="507"/>
      <c r="CI42" s="507"/>
      <c r="CJ42" s="507"/>
      <c r="CK42" s="507"/>
      <c r="CL42" s="507"/>
      <c r="CM42" s="507"/>
      <c r="CN42" s="507"/>
      <c r="CO42" s="507"/>
      <c r="CP42" s="507"/>
      <c r="CQ42" s="507"/>
      <c r="CR42" s="507"/>
      <c r="CS42" s="507"/>
      <c r="CT42" s="507"/>
      <c r="CU42" s="507"/>
      <c r="CV42" s="507"/>
      <c r="CW42" s="507"/>
      <c r="CX42" s="507"/>
      <c r="CY42" s="507"/>
      <c r="CZ42" s="507"/>
      <c r="DA42" s="507"/>
      <c r="DB42" s="507"/>
      <c r="DC42" s="507"/>
      <c r="DD42" s="507"/>
      <c r="DE42" s="507"/>
      <c r="DF42" s="507"/>
      <c r="DG42" s="507"/>
      <c r="DH42" s="507"/>
      <c r="DI42" s="507"/>
      <c r="DJ42" s="507"/>
      <c r="DK42" s="507"/>
      <c r="DL42" s="507"/>
      <c r="DM42" s="507"/>
      <c r="DN42" s="507"/>
      <c r="DO42" s="507"/>
      <c r="DP42" s="507"/>
      <c r="DQ42" s="507"/>
      <c r="DR42" s="507"/>
      <c r="DS42" s="507"/>
      <c r="DT42" s="507"/>
      <c r="DU42" s="507"/>
      <c r="DV42" s="507"/>
      <c r="DW42" s="507"/>
      <c r="DX42" s="507"/>
      <c r="DY42" s="507"/>
      <c r="DZ42" s="507"/>
      <c r="EA42" s="507"/>
      <c r="EB42" s="507"/>
      <c r="EC42" s="507"/>
      <c r="ED42" s="507"/>
      <c r="EE42" s="507"/>
      <c r="EF42" s="507"/>
      <c r="EG42" s="507"/>
      <c r="EH42" s="507"/>
      <c r="EI42" s="507"/>
      <c r="EJ42" s="507"/>
      <c r="EK42" s="507"/>
      <c r="EL42" s="507"/>
      <c r="EM42" s="507"/>
      <c r="EN42" s="507"/>
      <c r="EO42" s="507"/>
      <c r="EP42" s="507"/>
      <c r="EQ42" s="507"/>
      <c r="ER42" s="507"/>
      <c r="ES42" s="507"/>
      <c r="ET42" s="507"/>
      <c r="EU42" s="507"/>
      <c r="EV42" s="507"/>
      <c r="EW42" s="507"/>
      <c r="EX42" s="507"/>
      <c r="EY42" s="507"/>
      <c r="EZ42" s="507"/>
      <c r="FA42" s="507"/>
      <c r="FB42" s="507"/>
      <c r="FC42" s="507"/>
      <c r="FD42" s="507"/>
      <c r="FE42" s="507"/>
      <c r="FF42" s="507"/>
      <c r="FG42" s="507"/>
      <c r="FH42" s="507"/>
      <c r="FI42" s="507"/>
      <c r="FJ42" s="507"/>
      <c r="FK42" s="507"/>
      <c r="FL42" s="507"/>
      <c r="FM42" s="507"/>
      <c r="FN42" s="507"/>
      <c r="FO42" s="507"/>
      <c r="FP42" s="507"/>
      <c r="FQ42" s="507"/>
      <c r="FR42" s="507"/>
      <c r="FS42" s="507"/>
      <c r="FT42" s="507"/>
      <c r="FU42" s="507"/>
      <c r="FV42" s="507"/>
      <c r="FW42" s="507"/>
      <c r="FX42" s="507"/>
      <c r="FY42" s="507"/>
      <c r="FZ42" s="507"/>
      <c r="GA42" s="507"/>
      <c r="GB42" s="507"/>
      <c r="GC42" s="507"/>
      <c r="GD42" s="507"/>
      <c r="GE42" s="507"/>
      <c r="GF42" s="507"/>
      <c r="GG42" s="507"/>
      <c r="GH42" s="507"/>
      <c r="GI42" s="507"/>
      <c r="GJ42" s="507"/>
      <c r="GK42" s="507"/>
      <c r="GL42" s="507"/>
      <c r="GM42" s="507"/>
      <c r="GN42" s="507"/>
      <c r="GO42" s="507"/>
      <c r="GP42" s="507"/>
      <c r="GQ42" s="507"/>
      <c r="GR42" s="507"/>
      <c r="GS42" s="507"/>
      <c r="GT42" s="507"/>
      <c r="GU42" s="507"/>
      <c r="GV42" s="507"/>
      <c r="GW42" s="507"/>
      <c r="GX42" s="507"/>
      <c r="GY42" s="507"/>
      <c r="GZ42" s="507"/>
      <c r="HA42" s="507"/>
      <c r="HB42" s="507"/>
      <c r="HC42" s="507"/>
      <c r="HD42" s="507"/>
      <c r="HE42" s="507"/>
      <c r="HF42" s="507"/>
      <c r="HG42" s="507"/>
      <c r="HH42" s="507"/>
      <c r="HI42" s="507"/>
      <c r="HJ42" s="507"/>
      <c r="HK42" s="507"/>
      <c r="HL42" s="507"/>
      <c r="HM42" s="507"/>
      <c r="HN42" s="507"/>
      <c r="HO42" s="507"/>
      <c r="HP42" s="507"/>
      <c r="HQ42" s="507"/>
      <c r="HR42" s="507"/>
      <c r="HS42" s="507"/>
      <c r="HT42" s="507"/>
      <c r="HU42" s="507"/>
      <c r="HV42" s="507"/>
      <c r="HW42" s="507"/>
      <c r="HX42" s="507"/>
      <c r="HY42" s="507"/>
      <c r="HZ42" s="507"/>
      <c r="IA42" s="507"/>
      <c r="IB42" s="507"/>
      <c r="IC42" s="507"/>
      <c r="ID42" s="507"/>
      <c r="IE42" s="507"/>
      <c r="IF42" s="507"/>
      <c r="IG42" s="507"/>
      <c r="IH42" s="507"/>
      <c r="II42" s="507"/>
      <c r="IJ42" s="520"/>
      <c r="IK42" s="520"/>
      <c r="IL42" s="507"/>
      <c r="IM42" s="507"/>
      <c r="IN42" s="507"/>
      <c r="IO42" s="507"/>
      <c r="IP42" s="507"/>
      <c r="IQ42" s="507"/>
      <c r="IR42" s="507"/>
      <c r="IS42" s="507"/>
      <c r="IT42" s="507"/>
      <c r="IU42" s="507"/>
      <c r="IV42" s="507"/>
      <c r="IW42" s="507"/>
      <c r="IX42" s="507"/>
      <c r="IY42" s="507"/>
      <c r="IZ42" s="507"/>
      <c r="JA42" s="520"/>
      <c r="JB42" s="507"/>
      <c r="JC42" s="507"/>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104" t="s">
        <v>3546</v>
      </c>
      <c r="B43" s="2104"/>
      <c r="C43" s="2104"/>
      <c r="D43" s="1135" t="s">
        <v>587</v>
      </c>
      <c r="E43" s="1136">
        <v>0</v>
      </c>
      <c r="F43" s="1137">
        <f>'Part VI-Revenues &amp; Expenses'!$J$104</f>
        <v>0</v>
      </c>
      <c r="G43" s="1138">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9">
        <f>F43*G43</f>
        <v>0</v>
      </c>
      <c r="J43" s="43"/>
      <c r="K43" s="1137">
        <f>'Part VI-Revenues &amp; Expenses'!$J$105</f>
        <v>0</v>
      </c>
      <c r="L43" s="1138">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9">
        <f>K43*L43</f>
        <v>0</v>
      </c>
      <c r="O43" s="1814"/>
      <c r="P43" s="2181" t="s">
        <v>3548</v>
      </c>
      <c r="Q43" s="2181"/>
      <c r="R43" s="457"/>
      <c r="U43" s="36"/>
      <c r="V43" s="509"/>
      <c r="W43" s="509"/>
      <c r="X43" s="512"/>
      <c r="Y43" s="509"/>
      <c r="Z43" s="521"/>
      <c r="AA43" s="522"/>
      <c r="AB43" s="522"/>
      <c r="AC43" s="522"/>
      <c r="AD43" s="522"/>
      <c r="AE43" s="522"/>
      <c r="AF43" s="522"/>
      <c r="AG43" s="875"/>
      <c r="AH43" s="507"/>
      <c r="AI43" s="507"/>
      <c r="AJ43" s="507"/>
      <c r="AK43" s="507"/>
      <c r="AL43" s="507"/>
      <c r="AM43" s="507"/>
      <c r="AN43" s="507"/>
      <c r="AO43" s="507"/>
      <c r="AP43" s="507"/>
      <c r="AQ43" s="507"/>
      <c r="AR43" s="507"/>
      <c r="AS43" s="507"/>
      <c r="AT43" s="507"/>
      <c r="AU43" s="507"/>
      <c r="AV43" s="507"/>
      <c r="AW43" s="507"/>
      <c r="AX43" s="507"/>
      <c r="AY43" s="507"/>
      <c r="AZ43" s="507"/>
      <c r="BA43" s="507"/>
      <c r="BB43" s="507"/>
      <c r="BC43" s="507"/>
      <c r="BD43" s="507"/>
      <c r="BE43" s="507"/>
      <c r="BF43" s="507"/>
      <c r="BG43" s="507"/>
      <c r="BH43" s="507"/>
      <c r="BI43" s="507"/>
      <c r="BJ43" s="507"/>
      <c r="BK43" s="507"/>
      <c r="BL43" s="507"/>
      <c r="BM43" s="507"/>
      <c r="BN43" s="507"/>
      <c r="BO43" s="507"/>
      <c r="BP43" s="507"/>
      <c r="BQ43" s="507"/>
      <c r="BR43" s="507"/>
      <c r="BS43" s="507"/>
      <c r="BT43" s="507"/>
      <c r="BU43" s="507"/>
      <c r="BV43" s="507"/>
      <c r="BW43" s="507"/>
      <c r="BX43" s="507"/>
      <c r="BY43" s="507"/>
      <c r="BZ43" s="507"/>
      <c r="CA43" s="507"/>
      <c r="CB43" s="507"/>
      <c r="CC43" s="507"/>
      <c r="CD43" s="507"/>
      <c r="CE43" s="507"/>
      <c r="CF43" s="507"/>
      <c r="CG43" s="507"/>
      <c r="CH43" s="507"/>
      <c r="CI43" s="507"/>
      <c r="CJ43" s="507"/>
      <c r="CK43" s="507"/>
      <c r="CL43" s="507"/>
      <c r="CM43" s="507"/>
      <c r="CN43" s="507"/>
      <c r="CO43" s="507"/>
      <c r="CP43" s="507"/>
      <c r="CQ43" s="507"/>
      <c r="CR43" s="507"/>
      <c r="CS43" s="507"/>
      <c r="CT43" s="507"/>
      <c r="CU43" s="507"/>
      <c r="CV43" s="507"/>
      <c r="CW43" s="507"/>
      <c r="CX43" s="507"/>
      <c r="CY43" s="507"/>
      <c r="CZ43" s="507"/>
      <c r="DA43" s="507"/>
      <c r="DB43" s="507"/>
      <c r="DC43" s="507"/>
      <c r="DD43" s="507"/>
      <c r="DE43" s="507"/>
      <c r="DF43" s="507"/>
      <c r="DG43" s="507"/>
      <c r="DH43" s="507"/>
      <c r="DI43" s="507"/>
      <c r="DJ43" s="507"/>
      <c r="DK43" s="507"/>
      <c r="DL43" s="507"/>
      <c r="DM43" s="507"/>
      <c r="DN43" s="507"/>
      <c r="DO43" s="507"/>
      <c r="DP43" s="507"/>
      <c r="DQ43" s="507"/>
      <c r="DR43" s="507"/>
      <c r="DS43" s="507"/>
      <c r="DT43" s="507"/>
      <c r="DU43" s="507"/>
      <c r="DV43" s="507"/>
      <c r="DW43" s="507"/>
      <c r="DX43" s="507"/>
      <c r="DY43" s="507"/>
      <c r="DZ43" s="507"/>
      <c r="EA43" s="507"/>
      <c r="EB43" s="507"/>
      <c r="EC43" s="507"/>
      <c r="ED43" s="507"/>
      <c r="EE43" s="507"/>
      <c r="EF43" s="507"/>
      <c r="EG43" s="507"/>
      <c r="EH43" s="507"/>
      <c r="EI43" s="507"/>
      <c r="EJ43" s="507"/>
      <c r="EK43" s="507"/>
      <c r="EL43" s="507"/>
      <c r="EM43" s="507"/>
      <c r="EN43" s="507"/>
      <c r="EO43" s="507"/>
      <c r="EP43" s="507"/>
      <c r="EQ43" s="507"/>
      <c r="ER43" s="507"/>
      <c r="ES43" s="507"/>
      <c r="ET43" s="507"/>
      <c r="EU43" s="507"/>
      <c r="EV43" s="507"/>
      <c r="EW43" s="507"/>
      <c r="EX43" s="507"/>
      <c r="EY43" s="507"/>
      <c r="EZ43" s="507"/>
      <c r="FA43" s="507"/>
      <c r="FB43" s="507"/>
      <c r="FC43" s="507"/>
      <c r="FD43" s="507"/>
      <c r="FE43" s="507"/>
      <c r="FF43" s="507"/>
      <c r="FG43" s="507"/>
      <c r="FH43" s="507"/>
      <c r="FI43" s="507"/>
      <c r="FJ43" s="507"/>
      <c r="FK43" s="507"/>
      <c r="FL43" s="507"/>
      <c r="FM43" s="507"/>
      <c r="FN43" s="507"/>
      <c r="FO43" s="507"/>
      <c r="FP43" s="507"/>
      <c r="FQ43" s="507"/>
      <c r="FR43" s="507"/>
      <c r="FS43" s="507"/>
      <c r="FT43" s="507"/>
      <c r="FU43" s="507"/>
      <c r="FV43" s="507"/>
      <c r="FW43" s="507"/>
      <c r="FX43" s="507"/>
      <c r="FY43" s="507"/>
      <c r="FZ43" s="507"/>
      <c r="GA43" s="507"/>
      <c r="GB43" s="507"/>
      <c r="GC43" s="507"/>
      <c r="GD43" s="507"/>
      <c r="GE43" s="507"/>
      <c r="GF43" s="507"/>
      <c r="GG43" s="507"/>
      <c r="GH43" s="507"/>
      <c r="GI43" s="507"/>
      <c r="GJ43" s="507"/>
      <c r="GK43" s="507"/>
      <c r="GL43" s="507"/>
      <c r="GM43" s="507"/>
      <c r="GN43" s="507"/>
      <c r="GO43" s="507"/>
      <c r="GP43" s="507"/>
      <c r="GQ43" s="507"/>
      <c r="GR43" s="507"/>
      <c r="GS43" s="507"/>
      <c r="GT43" s="507"/>
      <c r="GU43" s="507"/>
      <c r="GV43" s="507"/>
      <c r="GW43" s="507"/>
      <c r="GX43" s="507"/>
      <c r="GY43" s="507"/>
      <c r="GZ43" s="507"/>
      <c r="HA43" s="507"/>
      <c r="HB43" s="507"/>
      <c r="HC43" s="507"/>
      <c r="HD43" s="507"/>
      <c r="HE43" s="507"/>
      <c r="HF43" s="507"/>
      <c r="HG43" s="507"/>
      <c r="HH43" s="507"/>
      <c r="HI43" s="507"/>
      <c r="HJ43" s="507"/>
      <c r="HK43" s="507"/>
      <c r="HL43" s="507"/>
      <c r="HM43" s="507"/>
      <c r="HN43" s="507"/>
      <c r="HO43" s="507"/>
      <c r="HP43" s="507"/>
      <c r="HQ43" s="507"/>
      <c r="HR43" s="507"/>
      <c r="HS43" s="507"/>
      <c r="HT43" s="507"/>
      <c r="HU43" s="507"/>
      <c r="HV43" s="507"/>
      <c r="HW43" s="507"/>
      <c r="HX43" s="507"/>
      <c r="HY43" s="507"/>
      <c r="HZ43" s="507"/>
      <c r="IA43" s="507"/>
      <c r="IB43" s="507"/>
      <c r="IC43" s="507"/>
      <c r="ID43" s="507"/>
      <c r="IE43" s="507"/>
      <c r="IF43" s="507"/>
      <c r="IG43" s="507"/>
      <c r="IH43" s="507"/>
      <c r="II43" s="507"/>
      <c r="IJ43" s="520"/>
      <c r="IK43" s="520"/>
      <c r="IL43" s="507"/>
      <c r="IM43" s="507"/>
      <c r="IN43" s="507"/>
      <c r="IO43" s="507"/>
      <c r="IP43" s="507"/>
      <c r="IQ43" s="507"/>
      <c r="IR43" s="507"/>
      <c r="IS43" s="507"/>
      <c r="IT43" s="507"/>
      <c r="IU43" s="507"/>
      <c r="IV43" s="507"/>
      <c r="IW43" s="507"/>
      <c r="IX43" s="507"/>
      <c r="IY43" s="507"/>
      <c r="IZ43" s="507"/>
      <c r="JA43" s="520"/>
      <c r="JB43" s="507"/>
      <c r="JC43" s="507"/>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104"/>
      <c r="B44" s="2104"/>
      <c r="C44" s="2104"/>
      <c r="D44" s="1135" t="s">
        <v>2525</v>
      </c>
      <c r="E44" s="1136">
        <v>1</v>
      </c>
      <c r="F44" s="1137">
        <f>'Part VI-Revenues &amp; Expenses'!$K$104</f>
        <v>0</v>
      </c>
      <c r="G44" s="1138">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9">
        <f>F44*G44</f>
        <v>0</v>
      </c>
      <c r="J44" s="43"/>
      <c r="K44" s="1137">
        <f>'Part VI-Revenues &amp; Expenses'!$K$105</f>
        <v>0</v>
      </c>
      <c r="L44" s="1138">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9">
        <f>K44*L44</f>
        <v>0</v>
      </c>
      <c r="O44" s="1814"/>
      <c r="P44" s="2181"/>
      <c r="Q44" s="2181"/>
      <c r="R44" s="457"/>
      <c r="U44" s="36"/>
      <c r="V44" s="509"/>
      <c r="W44" s="509"/>
      <c r="X44" s="512"/>
      <c r="Y44" s="509"/>
      <c r="Z44" s="521"/>
      <c r="AA44" s="522"/>
      <c r="AB44" s="522"/>
      <c r="AC44" s="522"/>
      <c r="AD44" s="522"/>
      <c r="AE44" s="522"/>
      <c r="AF44" s="522"/>
      <c r="AG44" s="875"/>
      <c r="AH44" s="507"/>
      <c r="AI44" s="507"/>
      <c r="AJ44" s="507"/>
      <c r="AK44" s="507"/>
      <c r="AL44" s="507"/>
      <c r="AM44" s="507"/>
      <c r="AN44" s="507"/>
      <c r="AO44" s="507"/>
      <c r="AP44" s="507"/>
      <c r="AQ44" s="507"/>
      <c r="AR44" s="507"/>
      <c r="AS44" s="507"/>
      <c r="AT44" s="507"/>
      <c r="AU44" s="507"/>
      <c r="AV44" s="507"/>
      <c r="AW44" s="507"/>
      <c r="AX44" s="507"/>
      <c r="AY44" s="507"/>
      <c r="AZ44" s="507"/>
      <c r="BA44" s="507"/>
      <c r="BB44" s="507"/>
      <c r="BC44" s="507"/>
      <c r="BD44" s="507"/>
      <c r="BE44" s="507"/>
      <c r="BF44" s="507"/>
      <c r="BG44" s="507"/>
      <c r="BH44" s="507"/>
      <c r="BI44" s="507"/>
      <c r="BJ44" s="507"/>
      <c r="BK44" s="507"/>
      <c r="BL44" s="507"/>
      <c r="BM44" s="507"/>
      <c r="BN44" s="507"/>
      <c r="BO44" s="507"/>
      <c r="BP44" s="507"/>
      <c r="BQ44" s="507"/>
      <c r="BR44" s="507"/>
      <c r="BS44" s="507"/>
      <c r="BT44" s="507"/>
      <c r="BU44" s="507"/>
      <c r="BV44" s="507"/>
      <c r="BW44" s="507"/>
      <c r="BX44" s="507"/>
      <c r="BY44" s="507"/>
      <c r="BZ44" s="507"/>
      <c r="CA44" s="507"/>
      <c r="CB44" s="507"/>
      <c r="CC44" s="507"/>
      <c r="CD44" s="507"/>
      <c r="CE44" s="507"/>
      <c r="CF44" s="507"/>
      <c r="CG44" s="507"/>
      <c r="CH44" s="507"/>
      <c r="CI44" s="507"/>
      <c r="CJ44" s="507"/>
      <c r="CK44" s="507"/>
      <c r="CL44" s="507"/>
      <c r="CM44" s="507"/>
      <c r="CN44" s="507"/>
      <c r="CO44" s="507"/>
      <c r="CP44" s="507"/>
      <c r="CQ44" s="507"/>
      <c r="CR44" s="507"/>
      <c r="CS44" s="507"/>
      <c r="CT44" s="507"/>
      <c r="CU44" s="507"/>
      <c r="CV44" s="507"/>
      <c r="CW44" s="507"/>
      <c r="CX44" s="507"/>
      <c r="CY44" s="507"/>
      <c r="CZ44" s="507"/>
      <c r="DA44" s="507"/>
      <c r="DB44" s="507"/>
      <c r="DC44" s="507"/>
      <c r="DD44" s="507"/>
      <c r="DE44" s="507"/>
      <c r="DF44" s="507"/>
      <c r="DG44" s="507"/>
      <c r="DH44" s="507"/>
      <c r="DI44" s="507"/>
      <c r="DJ44" s="507"/>
      <c r="DK44" s="507"/>
      <c r="DL44" s="507"/>
      <c r="DM44" s="507"/>
      <c r="DN44" s="507"/>
      <c r="DO44" s="507"/>
      <c r="DP44" s="507"/>
      <c r="DQ44" s="507"/>
      <c r="DR44" s="507"/>
      <c r="DS44" s="507"/>
      <c r="DT44" s="507"/>
      <c r="DU44" s="507"/>
      <c r="DV44" s="507"/>
      <c r="DW44" s="507"/>
      <c r="DX44" s="507"/>
      <c r="DY44" s="507"/>
      <c r="DZ44" s="507"/>
      <c r="EA44" s="507"/>
      <c r="EB44" s="507"/>
      <c r="EC44" s="507"/>
      <c r="ED44" s="507"/>
      <c r="EE44" s="507"/>
      <c r="EF44" s="507"/>
      <c r="EG44" s="507"/>
      <c r="EH44" s="507"/>
      <c r="EI44" s="507"/>
      <c r="EJ44" s="507"/>
      <c r="EK44" s="507"/>
      <c r="EL44" s="507"/>
      <c r="EM44" s="507"/>
      <c r="EN44" s="507"/>
      <c r="EO44" s="507"/>
      <c r="EP44" s="507"/>
      <c r="EQ44" s="507"/>
      <c r="ER44" s="507"/>
      <c r="ES44" s="507"/>
      <c r="ET44" s="507"/>
      <c r="EU44" s="507"/>
      <c r="EV44" s="507"/>
      <c r="EW44" s="507"/>
      <c r="EX44" s="507"/>
      <c r="EY44" s="507"/>
      <c r="EZ44" s="507"/>
      <c r="FA44" s="507"/>
      <c r="FB44" s="507"/>
      <c r="FC44" s="507"/>
      <c r="FD44" s="507"/>
      <c r="FE44" s="507"/>
      <c r="FF44" s="507"/>
      <c r="FG44" s="507"/>
      <c r="FH44" s="507"/>
      <c r="FI44" s="507"/>
      <c r="FJ44" s="507"/>
      <c r="FK44" s="507"/>
      <c r="FL44" s="507"/>
      <c r="FM44" s="507"/>
      <c r="FN44" s="507"/>
      <c r="FO44" s="507"/>
      <c r="FP44" s="507"/>
      <c r="FQ44" s="507"/>
      <c r="FR44" s="507"/>
      <c r="FS44" s="507"/>
      <c r="FT44" s="507"/>
      <c r="FU44" s="507"/>
      <c r="FV44" s="507"/>
      <c r="FW44" s="507"/>
      <c r="FX44" s="507"/>
      <c r="FY44" s="507"/>
      <c r="FZ44" s="507"/>
      <c r="GA44" s="507"/>
      <c r="GB44" s="507"/>
      <c r="GC44" s="507"/>
      <c r="GD44" s="507"/>
      <c r="GE44" s="507"/>
      <c r="GF44" s="507"/>
      <c r="GG44" s="507"/>
      <c r="GH44" s="507"/>
      <c r="GI44" s="507"/>
      <c r="GJ44" s="507"/>
      <c r="GK44" s="507"/>
      <c r="GL44" s="507"/>
      <c r="GM44" s="507"/>
      <c r="GN44" s="507"/>
      <c r="GO44" s="507"/>
      <c r="GP44" s="507"/>
      <c r="GQ44" s="507"/>
      <c r="GR44" s="507"/>
      <c r="GS44" s="507"/>
      <c r="GT44" s="507"/>
      <c r="GU44" s="507"/>
      <c r="GV44" s="507"/>
      <c r="GW44" s="507"/>
      <c r="GX44" s="507"/>
      <c r="GY44" s="507"/>
      <c r="GZ44" s="507"/>
      <c r="HA44" s="507"/>
      <c r="HB44" s="507"/>
      <c r="HC44" s="507"/>
      <c r="HD44" s="507"/>
      <c r="HE44" s="507"/>
      <c r="HF44" s="507"/>
      <c r="HG44" s="507"/>
      <c r="HH44" s="507"/>
      <c r="HI44" s="507"/>
      <c r="HJ44" s="507"/>
      <c r="HK44" s="507"/>
      <c r="HL44" s="507"/>
      <c r="HM44" s="507"/>
      <c r="HN44" s="507"/>
      <c r="HO44" s="507"/>
      <c r="HP44" s="507"/>
      <c r="HQ44" s="507"/>
      <c r="HR44" s="507"/>
      <c r="HS44" s="507"/>
      <c r="HT44" s="507"/>
      <c r="HU44" s="507"/>
      <c r="HV44" s="507"/>
      <c r="HW44" s="507"/>
      <c r="HX44" s="507"/>
      <c r="HY44" s="507"/>
      <c r="HZ44" s="507"/>
      <c r="IA44" s="507"/>
      <c r="IB44" s="507"/>
      <c r="IC44" s="507"/>
      <c r="ID44" s="507"/>
      <c r="IE44" s="507"/>
      <c r="IF44" s="507"/>
      <c r="IG44" s="507"/>
      <c r="IH44" s="507"/>
      <c r="II44" s="507"/>
      <c r="IJ44" s="520"/>
      <c r="IK44" s="520"/>
      <c r="IL44" s="507"/>
      <c r="IM44" s="507"/>
      <c r="IN44" s="507"/>
      <c r="IO44" s="507"/>
      <c r="IP44" s="507"/>
      <c r="IQ44" s="507"/>
      <c r="IR44" s="507"/>
      <c r="IS44" s="507"/>
      <c r="IT44" s="507"/>
      <c r="IU44" s="507"/>
      <c r="IV44" s="507"/>
      <c r="IW44" s="507"/>
      <c r="IX44" s="507"/>
      <c r="IY44" s="507"/>
      <c r="IZ44" s="507"/>
      <c r="JA44" s="520"/>
      <c r="JB44" s="507"/>
      <c r="JC44" s="507"/>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104"/>
      <c r="B45" s="2104"/>
      <c r="C45" s="2104"/>
      <c r="D45" s="1135" t="s">
        <v>2526</v>
      </c>
      <c r="E45" s="1136">
        <v>2</v>
      </c>
      <c r="F45" s="1137">
        <f>'Part VI-Revenues &amp; Expenses'!$L$104</f>
        <v>0</v>
      </c>
      <c r="G45" s="1138">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9">
        <f>F45*G45</f>
        <v>0</v>
      </c>
      <c r="J45" s="43"/>
      <c r="K45" s="1137">
        <f>'Part VI-Revenues &amp; Expenses'!$L$105</f>
        <v>0</v>
      </c>
      <c r="L45" s="1138">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9">
        <f>K45*L45</f>
        <v>0</v>
      </c>
      <c r="O45" s="1814"/>
      <c r="P45" s="2181"/>
      <c r="Q45" s="2181"/>
      <c r="U45" s="36"/>
      <c r="V45" s="509"/>
      <c r="W45" s="509"/>
      <c r="X45" s="512"/>
      <c r="Y45" s="509"/>
      <c r="Z45" s="521"/>
      <c r="AA45" s="522"/>
      <c r="AB45" s="522"/>
      <c r="AC45" s="522"/>
      <c r="AD45" s="522"/>
      <c r="AE45" s="522"/>
      <c r="AF45" s="522"/>
      <c r="AG45" s="875"/>
      <c r="AH45" s="507"/>
      <c r="AI45" s="507"/>
      <c r="AJ45" s="507"/>
      <c r="AK45" s="507"/>
      <c r="AL45" s="507"/>
      <c r="AM45" s="507"/>
      <c r="AN45" s="507"/>
      <c r="AO45" s="507"/>
      <c r="AP45" s="507"/>
      <c r="AQ45" s="507"/>
      <c r="AR45" s="507"/>
      <c r="AS45" s="507"/>
      <c r="AT45" s="507"/>
      <c r="AU45" s="507"/>
      <c r="AV45" s="507"/>
      <c r="AW45" s="507"/>
      <c r="AX45" s="507"/>
      <c r="AY45" s="507"/>
      <c r="AZ45" s="507"/>
      <c r="BA45" s="507"/>
      <c r="BB45" s="507"/>
      <c r="BC45" s="507"/>
      <c r="BD45" s="507"/>
      <c r="BE45" s="507"/>
      <c r="BF45" s="507"/>
      <c r="BG45" s="507"/>
      <c r="BH45" s="507"/>
      <c r="BI45" s="507"/>
      <c r="BJ45" s="507"/>
      <c r="BK45" s="507"/>
      <c r="BL45" s="507"/>
      <c r="BM45" s="507"/>
      <c r="BN45" s="507"/>
      <c r="BO45" s="507"/>
      <c r="BP45" s="507"/>
      <c r="BQ45" s="507"/>
      <c r="BR45" s="507"/>
      <c r="BS45" s="507"/>
      <c r="BT45" s="507"/>
      <c r="BU45" s="507"/>
      <c r="BV45" s="507"/>
      <c r="BW45" s="507"/>
      <c r="BX45" s="507"/>
      <c r="BY45" s="507"/>
      <c r="BZ45" s="507"/>
      <c r="CA45" s="507"/>
      <c r="CB45" s="507"/>
      <c r="CC45" s="507"/>
      <c r="CD45" s="507"/>
      <c r="CE45" s="507"/>
      <c r="CF45" s="507"/>
      <c r="CG45" s="507"/>
      <c r="CH45" s="507"/>
      <c r="CI45" s="507"/>
      <c r="CJ45" s="507"/>
      <c r="CK45" s="507"/>
      <c r="CL45" s="507"/>
      <c r="CM45" s="507"/>
      <c r="CN45" s="507"/>
      <c r="CO45" s="507"/>
      <c r="CP45" s="507"/>
      <c r="CQ45" s="507"/>
      <c r="CR45" s="507"/>
      <c r="CS45" s="507"/>
      <c r="CT45" s="507"/>
      <c r="CU45" s="507"/>
      <c r="CV45" s="507"/>
      <c r="CW45" s="507"/>
      <c r="CX45" s="507"/>
      <c r="CY45" s="507"/>
      <c r="CZ45" s="507"/>
      <c r="DA45" s="507"/>
      <c r="DB45" s="507"/>
      <c r="DC45" s="507"/>
      <c r="DD45" s="507"/>
      <c r="DE45" s="507"/>
      <c r="DF45" s="507"/>
      <c r="DG45" s="507"/>
      <c r="DH45" s="507"/>
      <c r="DI45" s="507"/>
      <c r="DJ45" s="507"/>
      <c r="DK45" s="507"/>
      <c r="DL45" s="507"/>
      <c r="DM45" s="507"/>
      <c r="DN45" s="507"/>
      <c r="DO45" s="507"/>
      <c r="DP45" s="507"/>
      <c r="DQ45" s="507"/>
      <c r="DR45" s="507"/>
      <c r="DS45" s="507"/>
      <c r="DT45" s="507"/>
      <c r="DU45" s="507"/>
      <c r="DV45" s="507"/>
      <c r="DW45" s="507"/>
      <c r="DX45" s="507"/>
      <c r="DY45" s="507"/>
      <c r="DZ45" s="507"/>
      <c r="EA45" s="507"/>
      <c r="EB45" s="507"/>
      <c r="EC45" s="507"/>
      <c r="ED45" s="507"/>
      <c r="EE45" s="507"/>
      <c r="EF45" s="507"/>
      <c r="EG45" s="507"/>
      <c r="EH45" s="507"/>
      <c r="EI45" s="507"/>
      <c r="EJ45" s="507"/>
      <c r="EK45" s="507"/>
      <c r="EL45" s="507"/>
      <c r="EM45" s="507"/>
      <c r="EN45" s="507"/>
      <c r="EO45" s="507"/>
      <c r="EP45" s="507"/>
      <c r="EQ45" s="507"/>
      <c r="ER45" s="507"/>
      <c r="ES45" s="507"/>
      <c r="ET45" s="507"/>
      <c r="EU45" s="507"/>
      <c r="EV45" s="507"/>
      <c r="EW45" s="507"/>
      <c r="EX45" s="507"/>
      <c r="EY45" s="507"/>
      <c r="EZ45" s="507"/>
      <c r="FA45" s="507"/>
      <c r="FB45" s="507"/>
      <c r="FC45" s="507"/>
      <c r="FD45" s="507"/>
      <c r="FE45" s="507"/>
      <c r="FF45" s="507"/>
      <c r="FG45" s="507"/>
      <c r="FH45" s="507"/>
      <c r="FI45" s="507"/>
      <c r="FJ45" s="507"/>
      <c r="FK45" s="507"/>
      <c r="FL45" s="507"/>
      <c r="FM45" s="507"/>
      <c r="FN45" s="507"/>
      <c r="FO45" s="507"/>
      <c r="FP45" s="507"/>
      <c r="FQ45" s="507"/>
      <c r="FR45" s="507"/>
      <c r="FS45" s="507"/>
      <c r="FT45" s="507"/>
      <c r="FU45" s="507"/>
      <c r="FV45" s="507"/>
      <c r="FW45" s="507"/>
      <c r="FX45" s="507"/>
      <c r="FY45" s="507"/>
      <c r="FZ45" s="507"/>
      <c r="GA45" s="507"/>
      <c r="GB45" s="507"/>
      <c r="GC45" s="507"/>
      <c r="GD45" s="507"/>
      <c r="GE45" s="507"/>
      <c r="GF45" s="507"/>
      <c r="GG45" s="507"/>
      <c r="GH45" s="507"/>
      <c r="GI45" s="507"/>
      <c r="GJ45" s="507"/>
      <c r="GK45" s="507"/>
      <c r="GL45" s="507"/>
      <c r="GM45" s="507"/>
      <c r="GN45" s="507"/>
      <c r="GO45" s="507"/>
      <c r="GP45" s="507"/>
      <c r="GQ45" s="507"/>
      <c r="GR45" s="507"/>
      <c r="GS45" s="507"/>
      <c r="GT45" s="507"/>
      <c r="GU45" s="507"/>
      <c r="GV45" s="507"/>
      <c r="GW45" s="507"/>
      <c r="GX45" s="507"/>
      <c r="GY45" s="507"/>
      <c r="GZ45" s="507"/>
      <c r="HA45" s="507"/>
      <c r="HB45" s="507"/>
      <c r="HC45" s="507"/>
      <c r="HD45" s="507"/>
      <c r="HE45" s="507"/>
      <c r="HF45" s="507"/>
      <c r="HG45" s="507"/>
      <c r="HH45" s="507"/>
      <c r="HI45" s="507"/>
      <c r="HJ45" s="507"/>
      <c r="HK45" s="507"/>
      <c r="HL45" s="507"/>
      <c r="HM45" s="507"/>
      <c r="HN45" s="507"/>
      <c r="HO45" s="507"/>
      <c r="HP45" s="507"/>
      <c r="HQ45" s="507"/>
      <c r="HR45" s="507"/>
      <c r="HS45" s="507"/>
      <c r="HT45" s="507"/>
      <c r="HU45" s="507"/>
      <c r="HV45" s="507"/>
      <c r="HW45" s="507"/>
      <c r="HX45" s="507"/>
      <c r="HY45" s="507"/>
      <c r="HZ45" s="507"/>
      <c r="IA45" s="507"/>
      <c r="IB45" s="507"/>
      <c r="IC45" s="507"/>
      <c r="ID45" s="507"/>
      <c r="IE45" s="507"/>
      <c r="IF45" s="507"/>
      <c r="IG45" s="507"/>
      <c r="IH45" s="507"/>
      <c r="II45" s="507"/>
      <c r="IJ45" s="520"/>
      <c r="IK45" s="520"/>
      <c r="IL45" s="507"/>
      <c r="IM45" s="507"/>
      <c r="IN45" s="507"/>
      <c r="IO45" s="507"/>
      <c r="IP45" s="507"/>
      <c r="IQ45" s="507"/>
      <c r="IR45" s="507"/>
      <c r="IS45" s="507"/>
      <c r="IT45" s="507"/>
      <c r="IU45" s="507"/>
      <c r="IV45" s="507"/>
      <c r="IW45" s="507"/>
      <c r="IX45" s="507"/>
      <c r="IY45" s="507"/>
      <c r="IZ45" s="507"/>
      <c r="JA45" s="520"/>
      <c r="JB45" s="507"/>
      <c r="JC45" s="507"/>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104"/>
      <c r="B46" s="2104"/>
      <c r="C46" s="2104"/>
      <c r="D46" s="1135" t="s">
        <v>2527</v>
      </c>
      <c r="E46" s="1136">
        <v>3</v>
      </c>
      <c r="F46" s="1137">
        <f>'Part VI-Revenues &amp; Expenses'!$M$104</f>
        <v>0</v>
      </c>
      <c r="G46" s="1138">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9">
        <f>F46*G46</f>
        <v>0</v>
      </c>
      <c r="J46" s="43"/>
      <c r="K46" s="1137">
        <f>'Part VI-Revenues &amp; Expenses'!$M$105</f>
        <v>0</v>
      </c>
      <c r="L46" s="1138">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9">
        <f>K46*L46</f>
        <v>0</v>
      </c>
      <c r="O46" s="1814"/>
      <c r="P46" s="2110"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111"/>
      <c r="U46" s="36"/>
      <c r="V46" s="509"/>
      <c r="W46" s="509"/>
      <c r="X46" s="512"/>
      <c r="Y46" s="509"/>
      <c r="Z46" s="521"/>
      <c r="AA46" s="522"/>
      <c r="AB46" s="522"/>
      <c r="AC46" s="522"/>
      <c r="AD46" s="522"/>
      <c r="AE46" s="522"/>
      <c r="AF46" s="522"/>
      <c r="AG46" s="875"/>
      <c r="AH46" s="507"/>
      <c r="AI46" s="507"/>
      <c r="AJ46" s="507"/>
      <c r="AK46" s="507"/>
      <c r="AL46" s="507"/>
      <c r="AM46" s="507"/>
      <c r="AN46" s="507"/>
      <c r="AO46" s="507"/>
      <c r="AP46" s="507"/>
      <c r="AQ46" s="507"/>
      <c r="AR46" s="507"/>
      <c r="AS46" s="507"/>
      <c r="AT46" s="507"/>
      <c r="AU46" s="507"/>
      <c r="AV46" s="507"/>
      <c r="AW46" s="507"/>
      <c r="AX46" s="507"/>
      <c r="AY46" s="507"/>
      <c r="AZ46" s="507"/>
      <c r="BA46" s="507"/>
      <c r="BB46" s="507"/>
      <c r="BC46" s="507"/>
      <c r="BD46" s="507"/>
      <c r="BE46" s="507"/>
      <c r="BF46" s="507"/>
      <c r="BG46" s="507"/>
      <c r="BH46" s="507"/>
      <c r="BI46" s="507"/>
      <c r="BJ46" s="507"/>
      <c r="BK46" s="507"/>
      <c r="BL46" s="507"/>
      <c r="BM46" s="507"/>
      <c r="BN46" s="507"/>
      <c r="BO46" s="507"/>
      <c r="BP46" s="507"/>
      <c r="BQ46" s="507"/>
      <c r="BR46" s="507"/>
      <c r="BS46" s="507"/>
      <c r="BT46" s="507"/>
      <c r="BU46" s="507"/>
      <c r="BV46" s="507"/>
      <c r="BW46" s="507"/>
      <c r="BX46" s="507"/>
      <c r="BY46" s="507"/>
      <c r="BZ46" s="507"/>
      <c r="CA46" s="507"/>
      <c r="CB46" s="507"/>
      <c r="CC46" s="507"/>
      <c r="CD46" s="507"/>
      <c r="CE46" s="507"/>
      <c r="CF46" s="507"/>
      <c r="CG46" s="507"/>
      <c r="CH46" s="507"/>
      <c r="CI46" s="507"/>
      <c r="CJ46" s="507"/>
      <c r="CK46" s="507"/>
      <c r="CL46" s="507"/>
      <c r="CM46" s="507"/>
      <c r="CN46" s="507"/>
      <c r="CO46" s="507"/>
      <c r="CP46" s="507"/>
      <c r="CQ46" s="507"/>
      <c r="CR46" s="507"/>
      <c r="CS46" s="507"/>
      <c r="CT46" s="507"/>
      <c r="CU46" s="507"/>
      <c r="CV46" s="507"/>
      <c r="CW46" s="507"/>
      <c r="CX46" s="507"/>
      <c r="CY46" s="507"/>
      <c r="CZ46" s="507"/>
      <c r="DA46" s="507"/>
      <c r="DB46" s="507"/>
      <c r="DC46" s="507"/>
      <c r="DD46" s="507"/>
      <c r="DE46" s="507"/>
      <c r="DF46" s="507"/>
      <c r="DG46" s="507"/>
      <c r="DH46" s="507"/>
      <c r="DI46" s="507"/>
      <c r="DJ46" s="507"/>
      <c r="DK46" s="507"/>
      <c r="DL46" s="507"/>
      <c r="DM46" s="507"/>
      <c r="DN46" s="507"/>
      <c r="DO46" s="507"/>
      <c r="DP46" s="507"/>
      <c r="DQ46" s="507"/>
      <c r="DR46" s="507"/>
      <c r="DS46" s="507"/>
      <c r="DT46" s="507"/>
      <c r="DU46" s="507"/>
      <c r="DV46" s="507"/>
      <c r="DW46" s="507"/>
      <c r="DX46" s="507"/>
      <c r="DY46" s="507"/>
      <c r="DZ46" s="507"/>
      <c r="EA46" s="507"/>
      <c r="EB46" s="507"/>
      <c r="EC46" s="507"/>
      <c r="ED46" s="507"/>
      <c r="EE46" s="507"/>
      <c r="EF46" s="507"/>
      <c r="EG46" s="507"/>
      <c r="EH46" s="507"/>
      <c r="EI46" s="507"/>
      <c r="EJ46" s="507"/>
      <c r="EK46" s="507"/>
      <c r="EL46" s="507"/>
      <c r="EM46" s="507"/>
      <c r="EN46" s="507"/>
      <c r="EO46" s="507"/>
      <c r="EP46" s="507"/>
      <c r="EQ46" s="507"/>
      <c r="ER46" s="507"/>
      <c r="ES46" s="507"/>
      <c r="ET46" s="507"/>
      <c r="EU46" s="507"/>
      <c r="EV46" s="507"/>
      <c r="EW46" s="507"/>
      <c r="EX46" s="507"/>
      <c r="EY46" s="507"/>
      <c r="EZ46" s="507"/>
      <c r="FA46" s="507"/>
      <c r="FB46" s="507"/>
      <c r="FC46" s="507"/>
      <c r="FD46" s="507"/>
      <c r="FE46" s="507"/>
      <c r="FF46" s="507"/>
      <c r="FG46" s="507"/>
      <c r="FH46" s="507"/>
      <c r="FI46" s="507"/>
      <c r="FJ46" s="507"/>
      <c r="FK46" s="507"/>
      <c r="FL46" s="507"/>
      <c r="FM46" s="507"/>
      <c r="FN46" s="507"/>
      <c r="FO46" s="507"/>
      <c r="FP46" s="507"/>
      <c r="FQ46" s="507"/>
      <c r="FR46" s="507"/>
      <c r="FS46" s="507"/>
      <c r="FT46" s="507"/>
      <c r="FU46" s="507"/>
      <c r="FV46" s="507"/>
      <c r="FW46" s="507"/>
      <c r="FX46" s="507"/>
      <c r="FY46" s="507"/>
      <c r="FZ46" s="507"/>
      <c r="GA46" s="507"/>
      <c r="GB46" s="507"/>
      <c r="GC46" s="507"/>
      <c r="GD46" s="507"/>
      <c r="GE46" s="507"/>
      <c r="GF46" s="507"/>
      <c r="GG46" s="507"/>
      <c r="GH46" s="507"/>
      <c r="GI46" s="507"/>
      <c r="GJ46" s="507"/>
      <c r="GK46" s="507"/>
      <c r="GL46" s="507"/>
      <c r="GM46" s="507"/>
      <c r="GN46" s="507"/>
      <c r="GO46" s="507"/>
      <c r="GP46" s="507"/>
      <c r="GQ46" s="507"/>
      <c r="GR46" s="507"/>
      <c r="GS46" s="507"/>
      <c r="GT46" s="507"/>
      <c r="GU46" s="507"/>
      <c r="GV46" s="507"/>
      <c r="GW46" s="507"/>
      <c r="GX46" s="507"/>
      <c r="GY46" s="507"/>
      <c r="GZ46" s="507"/>
      <c r="HA46" s="507"/>
      <c r="HB46" s="507"/>
      <c r="HC46" s="507"/>
      <c r="HD46" s="507"/>
      <c r="HE46" s="507"/>
      <c r="HF46" s="507"/>
      <c r="HG46" s="507"/>
      <c r="HH46" s="507"/>
      <c r="HI46" s="507"/>
      <c r="HJ46" s="507"/>
      <c r="HK46" s="507"/>
      <c r="HL46" s="507"/>
      <c r="HM46" s="507"/>
      <c r="HN46" s="507"/>
      <c r="HO46" s="507"/>
      <c r="HP46" s="507"/>
      <c r="HQ46" s="507"/>
      <c r="HR46" s="507"/>
      <c r="HS46" s="507"/>
      <c r="HT46" s="507"/>
      <c r="HU46" s="507"/>
      <c r="HV46" s="507"/>
      <c r="HW46" s="507"/>
      <c r="HX46" s="507"/>
      <c r="HY46" s="507"/>
      <c r="HZ46" s="507"/>
      <c r="IA46" s="507"/>
      <c r="IB46" s="507"/>
      <c r="IC46" s="507"/>
      <c r="ID46" s="507"/>
      <c r="IE46" s="507"/>
      <c r="IF46" s="507"/>
      <c r="IG46" s="507"/>
      <c r="IH46" s="507"/>
      <c r="II46" s="507"/>
      <c r="IJ46" s="520"/>
      <c r="IK46" s="520"/>
      <c r="IL46" s="507"/>
      <c r="IM46" s="507"/>
      <c r="IN46" s="507"/>
      <c r="IO46" s="507"/>
      <c r="IP46" s="507"/>
      <c r="IQ46" s="507"/>
      <c r="IR46" s="507"/>
      <c r="IS46" s="507"/>
      <c r="IT46" s="507"/>
      <c r="IU46" s="507"/>
      <c r="IV46" s="507"/>
      <c r="IW46" s="507"/>
      <c r="IX46" s="507"/>
      <c r="IY46" s="507"/>
      <c r="IZ46" s="507"/>
      <c r="JA46" s="520"/>
      <c r="JB46" s="507"/>
      <c r="JC46" s="507"/>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0" t="s">
        <v>2528</v>
      </c>
      <c r="E47" s="1136">
        <v>4</v>
      </c>
      <c r="F47" s="1137">
        <f>'Part VI-Revenues &amp; Expenses'!$N$104</f>
        <v>0</v>
      </c>
      <c r="G47" s="1138">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9">
        <f>F47*G47</f>
        <v>0</v>
      </c>
      <c r="J47" s="43"/>
      <c r="K47" s="1137">
        <f>'Part VI-Revenues &amp; Expenses'!$N$105</f>
        <v>0</v>
      </c>
      <c r="L47" s="1138">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9">
        <f>K47*L47</f>
        <v>0</v>
      </c>
      <c r="O47" s="1814"/>
      <c r="P47" s="2112"/>
      <c r="Q47" s="2113"/>
      <c r="S47" s="96"/>
      <c r="T47" s="43"/>
      <c r="U47" s="36"/>
      <c r="V47" s="509"/>
      <c r="W47" s="509"/>
      <c r="X47" s="512"/>
      <c r="Y47" s="509"/>
      <c r="Z47" s="521"/>
      <c r="AA47" s="522"/>
      <c r="AB47" s="522"/>
      <c r="AC47" s="522"/>
      <c r="AD47" s="522"/>
      <c r="AE47" s="522"/>
      <c r="AF47" s="522"/>
      <c r="AG47" s="875"/>
      <c r="AH47" s="507"/>
      <c r="AI47" s="507"/>
      <c r="AJ47" s="507"/>
      <c r="AK47" s="507"/>
      <c r="AL47" s="507"/>
      <c r="AM47" s="507"/>
      <c r="AN47" s="507"/>
      <c r="AO47" s="507"/>
      <c r="AP47" s="507"/>
      <c r="AQ47" s="507"/>
      <c r="AR47" s="507"/>
      <c r="AS47" s="507"/>
      <c r="AT47" s="507"/>
      <c r="AU47" s="507"/>
      <c r="AV47" s="507"/>
      <c r="AW47" s="507"/>
      <c r="AX47" s="507"/>
      <c r="AY47" s="507"/>
      <c r="AZ47" s="507"/>
      <c r="BA47" s="507"/>
      <c r="BB47" s="507"/>
      <c r="BC47" s="507"/>
      <c r="BD47" s="507"/>
      <c r="BE47" s="507"/>
      <c r="BF47" s="507"/>
      <c r="BG47" s="507"/>
      <c r="BH47" s="507"/>
      <c r="BI47" s="507"/>
      <c r="BJ47" s="507"/>
      <c r="BK47" s="507"/>
      <c r="BL47" s="507"/>
      <c r="BM47" s="507"/>
      <c r="BN47" s="507"/>
      <c r="BO47" s="507"/>
      <c r="BP47" s="507"/>
      <c r="BQ47" s="507"/>
      <c r="BR47" s="507"/>
      <c r="BS47" s="507"/>
      <c r="BT47" s="507"/>
      <c r="BU47" s="507"/>
      <c r="BV47" s="507"/>
      <c r="BW47" s="507"/>
      <c r="BX47" s="507"/>
      <c r="BY47" s="507"/>
      <c r="BZ47" s="507"/>
      <c r="CA47" s="507"/>
      <c r="CB47" s="507"/>
      <c r="CC47" s="507"/>
      <c r="CD47" s="507"/>
      <c r="CE47" s="507"/>
      <c r="CF47" s="507"/>
      <c r="CG47" s="507"/>
      <c r="CH47" s="507"/>
      <c r="CI47" s="507"/>
      <c r="CJ47" s="507"/>
      <c r="CK47" s="507"/>
      <c r="CL47" s="507"/>
      <c r="CM47" s="507"/>
      <c r="CN47" s="507"/>
      <c r="CO47" s="507"/>
      <c r="CP47" s="507"/>
      <c r="CQ47" s="507"/>
      <c r="CR47" s="507"/>
      <c r="CS47" s="507"/>
      <c r="CT47" s="507"/>
      <c r="CU47" s="507"/>
      <c r="CV47" s="507"/>
      <c r="CW47" s="507"/>
      <c r="CX47" s="507"/>
      <c r="CY47" s="507"/>
      <c r="CZ47" s="507"/>
      <c r="DA47" s="507"/>
      <c r="DB47" s="507"/>
      <c r="DC47" s="507"/>
      <c r="DD47" s="507"/>
      <c r="DE47" s="507"/>
      <c r="DF47" s="507"/>
      <c r="DG47" s="507"/>
      <c r="DH47" s="507"/>
      <c r="DI47" s="507"/>
      <c r="DJ47" s="507"/>
      <c r="DK47" s="507"/>
      <c r="DL47" s="507"/>
      <c r="DM47" s="507"/>
      <c r="DN47" s="507"/>
      <c r="DO47" s="507"/>
      <c r="DP47" s="507"/>
      <c r="DQ47" s="507"/>
      <c r="DR47" s="507"/>
      <c r="DS47" s="507"/>
      <c r="DT47" s="507"/>
      <c r="DU47" s="507"/>
      <c r="DV47" s="507"/>
      <c r="DW47" s="507"/>
      <c r="DX47" s="507"/>
      <c r="DY47" s="507"/>
      <c r="DZ47" s="507"/>
      <c r="EA47" s="507"/>
      <c r="EB47" s="507"/>
      <c r="EC47" s="507"/>
      <c r="ED47" s="507"/>
      <c r="EE47" s="507"/>
      <c r="EF47" s="507"/>
      <c r="EG47" s="507"/>
      <c r="EH47" s="507"/>
      <c r="EI47" s="507"/>
      <c r="EJ47" s="507"/>
      <c r="EK47" s="507"/>
      <c r="EL47" s="507"/>
      <c r="EM47" s="507"/>
      <c r="EN47" s="507"/>
      <c r="EO47" s="507"/>
      <c r="EP47" s="507"/>
      <c r="EQ47" s="507"/>
      <c r="ER47" s="507"/>
      <c r="ES47" s="507"/>
      <c r="ET47" s="507"/>
      <c r="EU47" s="507"/>
      <c r="EV47" s="507"/>
      <c r="EW47" s="507"/>
      <c r="EX47" s="507"/>
      <c r="EY47" s="507"/>
      <c r="EZ47" s="507"/>
      <c r="FA47" s="507"/>
      <c r="FB47" s="507"/>
      <c r="FC47" s="507"/>
      <c r="FD47" s="507"/>
      <c r="FE47" s="507"/>
      <c r="FF47" s="507"/>
      <c r="FG47" s="507"/>
      <c r="FH47" s="507"/>
      <c r="FI47" s="507"/>
      <c r="FJ47" s="507"/>
      <c r="FK47" s="507"/>
      <c r="FL47" s="507"/>
      <c r="FM47" s="507"/>
      <c r="FN47" s="507"/>
      <c r="FO47" s="507"/>
      <c r="FP47" s="507"/>
      <c r="FQ47" s="507"/>
      <c r="FR47" s="507"/>
      <c r="FS47" s="507"/>
      <c r="FT47" s="507"/>
      <c r="FU47" s="507"/>
      <c r="FV47" s="507"/>
      <c r="FW47" s="507"/>
      <c r="FX47" s="507"/>
      <c r="FY47" s="507"/>
      <c r="FZ47" s="507"/>
      <c r="GA47" s="507"/>
      <c r="GB47" s="507"/>
      <c r="GC47" s="507"/>
      <c r="GD47" s="507"/>
      <c r="GE47" s="507"/>
      <c r="GF47" s="507"/>
      <c r="GG47" s="507"/>
      <c r="GH47" s="507"/>
      <c r="GI47" s="507"/>
      <c r="GJ47" s="507"/>
      <c r="GK47" s="507"/>
      <c r="GL47" s="507"/>
      <c r="GM47" s="507"/>
      <c r="GN47" s="507"/>
      <c r="GO47" s="507"/>
      <c r="GP47" s="507"/>
      <c r="GQ47" s="507"/>
      <c r="GR47" s="507"/>
      <c r="GS47" s="507"/>
      <c r="GT47" s="507"/>
      <c r="GU47" s="507"/>
      <c r="GV47" s="507"/>
      <c r="GW47" s="507"/>
      <c r="GX47" s="507"/>
      <c r="GY47" s="507"/>
      <c r="GZ47" s="507"/>
      <c r="HA47" s="507"/>
      <c r="HB47" s="507"/>
      <c r="HC47" s="507"/>
      <c r="HD47" s="507"/>
      <c r="HE47" s="507"/>
      <c r="HF47" s="507"/>
      <c r="HG47" s="507"/>
      <c r="HH47" s="507"/>
      <c r="HI47" s="507"/>
      <c r="HJ47" s="507"/>
      <c r="HK47" s="507"/>
      <c r="HL47" s="507"/>
      <c r="HM47" s="507"/>
      <c r="HN47" s="507"/>
      <c r="HO47" s="507"/>
      <c r="HP47" s="507"/>
      <c r="HQ47" s="507"/>
      <c r="HR47" s="507"/>
      <c r="HS47" s="507"/>
      <c r="HT47" s="507"/>
      <c r="HU47" s="507"/>
      <c r="HV47" s="507"/>
      <c r="HW47" s="507"/>
      <c r="HX47" s="507"/>
      <c r="HY47" s="507"/>
      <c r="HZ47" s="507"/>
      <c r="IA47" s="507"/>
      <c r="IB47" s="507"/>
      <c r="IC47" s="507"/>
      <c r="ID47" s="507"/>
      <c r="IE47" s="507"/>
      <c r="IF47" s="507"/>
      <c r="IG47" s="507"/>
      <c r="IH47" s="507"/>
      <c r="II47" s="507"/>
      <c r="IJ47" s="520"/>
      <c r="IK47" s="520"/>
      <c r="IL47" s="507"/>
      <c r="IM47" s="507"/>
      <c r="IN47" s="507"/>
      <c r="IO47" s="507"/>
      <c r="IP47" s="507"/>
      <c r="IQ47" s="507"/>
      <c r="IR47" s="507"/>
      <c r="IS47" s="507"/>
      <c r="IT47" s="507"/>
      <c r="IU47" s="507"/>
      <c r="IV47" s="507"/>
      <c r="IW47" s="507"/>
      <c r="IX47" s="507"/>
      <c r="IY47" s="507"/>
      <c r="IZ47" s="507"/>
      <c r="JA47" s="520"/>
      <c r="JB47" s="507"/>
      <c r="JC47" s="507"/>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3" t="s">
        <v>3557</v>
      </c>
      <c r="E48" s="36"/>
      <c r="F48" s="812">
        <f>SUM(F43:F47)</f>
        <v>0</v>
      </c>
      <c r="G48" s="832"/>
      <c r="H48" s="813"/>
      <c r="I48" s="814">
        <f>SUM(I43:I47)</f>
        <v>0</v>
      </c>
      <c r="J48" s="815"/>
      <c r="K48" s="812">
        <f>SUM(K43:K47)</f>
        <v>0</v>
      </c>
      <c r="L48" s="815"/>
      <c r="M48" s="813"/>
      <c r="N48" s="814">
        <f>SUM(N43:N47)</f>
        <v>0</v>
      </c>
      <c r="O48" s="1814"/>
      <c r="P48" s="2117" t="s">
        <v>4045</v>
      </c>
      <c r="Q48" s="2117"/>
      <c r="S48" s="96"/>
      <c r="T48" s="43"/>
      <c r="U48" s="36"/>
      <c r="V48" s="509"/>
      <c r="W48" s="509"/>
      <c r="X48" s="512"/>
      <c r="Y48" s="509"/>
      <c r="Z48" s="521"/>
      <c r="AA48" s="522"/>
      <c r="AB48" s="522"/>
      <c r="AC48" s="522"/>
      <c r="AD48" s="522"/>
      <c r="AE48" s="522"/>
      <c r="AF48" s="522"/>
      <c r="AG48" s="875"/>
      <c r="AH48" s="507"/>
      <c r="AI48" s="507"/>
      <c r="AJ48" s="507"/>
      <c r="AK48" s="507"/>
      <c r="AL48" s="507"/>
      <c r="AM48" s="507"/>
      <c r="AN48" s="507"/>
      <c r="AO48" s="507"/>
      <c r="AP48" s="507"/>
      <c r="AQ48" s="507"/>
      <c r="AR48" s="507"/>
      <c r="AS48" s="507"/>
      <c r="AT48" s="507"/>
      <c r="AU48" s="507"/>
      <c r="AV48" s="507"/>
      <c r="AW48" s="507"/>
      <c r="AX48" s="507"/>
      <c r="AY48" s="507"/>
      <c r="AZ48" s="507"/>
      <c r="BA48" s="507"/>
      <c r="BB48" s="507"/>
      <c r="BC48" s="507"/>
      <c r="BD48" s="507"/>
      <c r="BE48" s="507"/>
      <c r="BF48" s="507"/>
      <c r="BG48" s="507"/>
      <c r="BH48" s="507"/>
      <c r="BI48" s="507"/>
      <c r="BJ48" s="507"/>
      <c r="BK48" s="507"/>
      <c r="BL48" s="507"/>
      <c r="BM48" s="507"/>
      <c r="BN48" s="507"/>
      <c r="BO48" s="507"/>
      <c r="BP48" s="507"/>
      <c r="BQ48" s="507"/>
      <c r="BR48" s="507"/>
      <c r="BS48" s="507"/>
      <c r="BT48" s="507"/>
      <c r="BU48" s="507"/>
      <c r="BV48" s="507"/>
      <c r="BW48" s="507"/>
      <c r="BX48" s="507"/>
      <c r="BY48" s="507"/>
      <c r="BZ48" s="507"/>
      <c r="CA48" s="507"/>
      <c r="CB48" s="507"/>
      <c r="CC48" s="507"/>
      <c r="CD48" s="507"/>
      <c r="CE48" s="507"/>
      <c r="CF48" s="507"/>
      <c r="CG48" s="507"/>
      <c r="CH48" s="507"/>
      <c r="CI48" s="507"/>
      <c r="CJ48" s="507"/>
      <c r="CK48" s="507"/>
      <c r="CL48" s="507"/>
      <c r="CM48" s="507"/>
      <c r="CN48" s="507"/>
      <c r="CO48" s="507"/>
      <c r="CP48" s="507"/>
      <c r="CQ48" s="507"/>
      <c r="CR48" s="507"/>
      <c r="CS48" s="507"/>
      <c r="CT48" s="507"/>
      <c r="CU48" s="507"/>
      <c r="CV48" s="507"/>
      <c r="CW48" s="507"/>
      <c r="CX48" s="507"/>
      <c r="CY48" s="507"/>
      <c r="CZ48" s="507"/>
      <c r="DA48" s="507"/>
      <c r="DB48" s="507"/>
      <c r="DC48" s="507"/>
      <c r="DD48" s="507"/>
      <c r="DE48" s="507"/>
      <c r="DF48" s="507"/>
      <c r="DG48" s="507"/>
      <c r="DH48" s="507"/>
      <c r="DI48" s="507"/>
      <c r="DJ48" s="507"/>
      <c r="DK48" s="507"/>
      <c r="DL48" s="507"/>
      <c r="DM48" s="507"/>
      <c r="DN48" s="507"/>
      <c r="DO48" s="507"/>
      <c r="DP48" s="507"/>
      <c r="DQ48" s="507"/>
      <c r="DR48" s="507"/>
      <c r="DS48" s="507"/>
      <c r="DT48" s="507"/>
      <c r="DU48" s="507"/>
      <c r="DV48" s="507"/>
      <c r="DW48" s="507"/>
      <c r="DX48" s="507"/>
      <c r="DY48" s="507"/>
      <c r="DZ48" s="507"/>
      <c r="EA48" s="507"/>
      <c r="EB48" s="507"/>
      <c r="EC48" s="507"/>
      <c r="ED48" s="507"/>
      <c r="EE48" s="507"/>
      <c r="EF48" s="507"/>
      <c r="EG48" s="507"/>
      <c r="EH48" s="507"/>
      <c r="EI48" s="507"/>
      <c r="EJ48" s="507"/>
      <c r="EK48" s="507"/>
      <c r="EL48" s="507"/>
      <c r="EM48" s="507"/>
      <c r="EN48" s="507"/>
      <c r="EO48" s="507"/>
      <c r="EP48" s="507"/>
      <c r="EQ48" s="507"/>
      <c r="ER48" s="507"/>
      <c r="ES48" s="507"/>
      <c r="ET48" s="507"/>
      <c r="EU48" s="507"/>
      <c r="EV48" s="507"/>
      <c r="EW48" s="507"/>
      <c r="EX48" s="507"/>
      <c r="EY48" s="507"/>
      <c r="EZ48" s="507"/>
      <c r="FA48" s="507"/>
      <c r="FB48" s="507"/>
      <c r="FC48" s="507"/>
      <c r="FD48" s="507"/>
      <c r="FE48" s="507"/>
      <c r="FF48" s="507"/>
      <c r="FG48" s="507"/>
      <c r="FH48" s="507"/>
      <c r="FI48" s="507"/>
      <c r="FJ48" s="507"/>
      <c r="FK48" s="507"/>
      <c r="FL48" s="507"/>
      <c r="FM48" s="507"/>
      <c r="FN48" s="507"/>
      <c r="FO48" s="507"/>
      <c r="FP48" s="507"/>
      <c r="FQ48" s="507"/>
      <c r="FR48" s="507"/>
      <c r="FS48" s="507"/>
      <c r="FT48" s="507"/>
      <c r="FU48" s="507"/>
      <c r="FV48" s="507"/>
      <c r="FW48" s="507"/>
      <c r="FX48" s="507"/>
      <c r="FY48" s="507"/>
      <c r="FZ48" s="507"/>
      <c r="GA48" s="507"/>
      <c r="GB48" s="507"/>
      <c r="GC48" s="507"/>
      <c r="GD48" s="507"/>
      <c r="GE48" s="507"/>
      <c r="GF48" s="507"/>
      <c r="GG48" s="507"/>
      <c r="GH48" s="507"/>
      <c r="GI48" s="507"/>
      <c r="GJ48" s="507"/>
      <c r="GK48" s="507"/>
      <c r="GL48" s="507"/>
      <c r="GM48" s="507"/>
      <c r="GN48" s="507"/>
      <c r="GO48" s="507"/>
      <c r="GP48" s="507"/>
      <c r="GQ48" s="507"/>
      <c r="GR48" s="507"/>
      <c r="GS48" s="507"/>
      <c r="GT48" s="507"/>
      <c r="GU48" s="507"/>
      <c r="GV48" s="507"/>
      <c r="GW48" s="507"/>
      <c r="GX48" s="507"/>
      <c r="GY48" s="507"/>
      <c r="GZ48" s="507"/>
      <c r="HA48" s="507"/>
      <c r="HB48" s="507"/>
      <c r="HC48" s="507"/>
      <c r="HD48" s="507"/>
      <c r="HE48" s="507"/>
      <c r="HF48" s="507"/>
      <c r="HG48" s="507"/>
      <c r="HH48" s="507"/>
      <c r="HI48" s="507"/>
      <c r="HJ48" s="507"/>
      <c r="HK48" s="507"/>
      <c r="HL48" s="507"/>
      <c r="HM48" s="507"/>
      <c r="HN48" s="507"/>
      <c r="HO48" s="507"/>
      <c r="HP48" s="507"/>
      <c r="HQ48" s="507"/>
      <c r="HR48" s="507"/>
      <c r="HS48" s="507"/>
      <c r="HT48" s="507"/>
      <c r="HU48" s="507"/>
      <c r="HV48" s="507"/>
      <c r="HW48" s="507"/>
      <c r="HX48" s="507"/>
      <c r="HY48" s="507"/>
      <c r="HZ48" s="507"/>
      <c r="IA48" s="507"/>
      <c r="IB48" s="507"/>
      <c r="IC48" s="507"/>
      <c r="ID48" s="507"/>
      <c r="IE48" s="507"/>
      <c r="IF48" s="507"/>
      <c r="IG48" s="507"/>
      <c r="IH48" s="507"/>
      <c r="II48" s="507"/>
      <c r="IJ48" s="520"/>
      <c r="IK48" s="520"/>
      <c r="IL48" s="507"/>
      <c r="IM48" s="507"/>
      <c r="IN48" s="507"/>
      <c r="IO48" s="507"/>
      <c r="IP48" s="507"/>
      <c r="IQ48" s="507"/>
      <c r="IR48" s="507"/>
      <c r="IS48" s="507"/>
      <c r="IT48" s="507"/>
      <c r="IU48" s="507"/>
      <c r="IV48" s="507"/>
      <c r="IW48" s="507"/>
      <c r="IX48" s="507"/>
      <c r="IY48" s="507"/>
      <c r="IZ48" s="507"/>
      <c r="JA48" s="520"/>
      <c r="JB48" s="507"/>
      <c r="JC48" s="507"/>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1"/>
      <c r="E49" s="651"/>
      <c r="F49" s="833"/>
      <c r="G49" s="150"/>
      <c r="H49" s="138"/>
      <c r="I49" s="1144"/>
      <c r="J49" s="138"/>
      <c r="K49" s="833"/>
      <c r="L49" s="138"/>
      <c r="M49" s="1814"/>
      <c r="N49" s="1144"/>
      <c r="O49" s="1814"/>
      <c r="P49" s="2114" t="str">
        <f ca="1">IF('Part IV-Uses of Funds'!$G$131&gt;P65,"CHECK TDC !!!","")</f>
        <v/>
      </c>
      <c r="Q49" s="2114"/>
      <c r="R49" s="457"/>
      <c r="S49" s="1175"/>
      <c r="T49" s="43"/>
      <c r="U49" s="36"/>
      <c r="V49" s="509"/>
      <c r="W49" s="509"/>
      <c r="X49" s="512"/>
      <c r="Y49" s="509"/>
      <c r="Z49" s="521"/>
      <c r="AA49" s="522"/>
      <c r="AB49" s="522"/>
      <c r="AC49" s="522"/>
      <c r="AD49" s="522"/>
      <c r="AE49" s="522"/>
      <c r="AF49" s="522"/>
      <c r="AG49" s="875"/>
      <c r="AH49" s="507"/>
      <c r="AI49" s="507"/>
      <c r="AJ49" s="507"/>
      <c r="AK49" s="507"/>
      <c r="AL49" s="507"/>
      <c r="AM49" s="507"/>
      <c r="AN49" s="507"/>
      <c r="AO49" s="507"/>
      <c r="AP49" s="507"/>
      <c r="AQ49" s="507"/>
      <c r="AR49" s="507"/>
      <c r="AS49" s="507"/>
      <c r="AT49" s="507"/>
      <c r="AU49" s="507"/>
      <c r="AV49" s="507"/>
      <c r="AW49" s="507"/>
      <c r="AX49" s="507"/>
      <c r="AY49" s="507"/>
      <c r="AZ49" s="507"/>
      <c r="BA49" s="507"/>
      <c r="BB49" s="507"/>
      <c r="BC49" s="507"/>
      <c r="BD49" s="507"/>
      <c r="BE49" s="507"/>
      <c r="BF49" s="507"/>
      <c r="BG49" s="507"/>
      <c r="BH49" s="507"/>
      <c r="BI49" s="507"/>
      <c r="BJ49" s="507"/>
      <c r="BK49" s="507"/>
      <c r="BL49" s="507"/>
      <c r="BM49" s="507"/>
      <c r="BN49" s="507"/>
      <c r="BO49" s="507"/>
      <c r="BP49" s="507"/>
      <c r="BQ49" s="507"/>
      <c r="BR49" s="507"/>
      <c r="BS49" s="507"/>
      <c r="BT49" s="507"/>
      <c r="BU49" s="507"/>
      <c r="BV49" s="507"/>
      <c r="BW49" s="507"/>
      <c r="BX49" s="507"/>
      <c r="BY49" s="507"/>
      <c r="BZ49" s="507"/>
      <c r="CA49" s="507"/>
      <c r="CB49" s="507"/>
      <c r="CC49" s="507"/>
      <c r="CD49" s="507"/>
      <c r="CE49" s="507"/>
      <c r="CF49" s="507"/>
      <c r="CG49" s="507"/>
      <c r="CH49" s="507"/>
      <c r="CI49" s="507"/>
      <c r="CJ49" s="507"/>
      <c r="CK49" s="507"/>
      <c r="CL49" s="507"/>
      <c r="CM49" s="507"/>
      <c r="CN49" s="507"/>
      <c r="CO49" s="507"/>
      <c r="CP49" s="507"/>
      <c r="CQ49" s="507"/>
      <c r="CR49" s="507"/>
      <c r="CS49" s="507"/>
      <c r="CT49" s="507"/>
      <c r="CU49" s="507"/>
      <c r="CV49" s="507"/>
      <c r="CW49" s="507"/>
      <c r="CX49" s="507"/>
      <c r="CY49" s="507"/>
      <c r="CZ49" s="507"/>
      <c r="DA49" s="507"/>
      <c r="DB49" s="507"/>
      <c r="DC49" s="507"/>
      <c r="DD49" s="507"/>
      <c r="DE49" s="507"/>
      <c r="DF49" s="507"/>
      <c r="DG49" s="507"/>
      <c r="DH49" s="507"/>
      <c r="DI49" s="507"/>
      <c r="DJ49" s="507"/>
      <c r="DK49" s="507"/>
      <c r="DL49" s="507"/>
      <c r="DM49" s="507"/>
      <c r="DN49" s="507"/>
      <c r="DO49" s="507"/>
      <c r="DP49" s="507"/>
      <c r="DQ49" s="507"/>
      <c r="DR49" s="507"/>
      <c r="DS49" s="507"/>
      <c r="DT49" s="507"/>
      <c r="DU49" s="507"/>
      <c r="DV49" s="507"/>
      <c r="DW49" s="507"/>
      <c r="DX49" s="507"/>
      <c r="DY49" s="507"/>
      <c r="DZ49" s="507"/>
      <c r="EA49" s="507"/>
      <c r="EB49" s="507"/>
      <c r="EC49" s="507"/>
      <c r="ED49" s="507"/>
      <c r="EE49" s="507"/>
      <c r="EF49" s="507"/>
      <c r="EG49" s="507"/>
      <c r="EH49" s="507"/>
      <c r="EI49" s="507"/>
      <c r="EJ49" s="507"/>
      <c r="EK49" s="507"/>
      <c r="EL49" s="507"/>
      <c r="EM49" s="507"/>
      <c r="EN49" s="507"/>
      <c r="EO49" s="507"/>
      <c r="EP49" s="507"/>
      <c r="EQ49" s="507"/>
      <c r="ER49" s="507"/>
      <c r="ES49" s="507"/>
      <c r="ET49" s="507"/>
      <c r="EU49" s="507"/>
      <c r="EV49" s="507"/>
      <c r="EW49" s="507"/>
      <c r="EX49" s="507"/>
      <c r="EY49" s="507"/>
      <c r="EZ49" s="507"/>
      <c r="FA49" s="507"/>
      <c r="FB49" s="507"/>
      <c r="FC49" s="507"/>
      <c r="FD49" s="507"/>
      <c r="FE49" s="507"/>
      <c r="FF49" s="507"/>
      <c r="FG49" s="507"/>
      <c r="FH49" s="507"/>
      <c r="FI49" s="507"/>
      <c r="FJ49" s="507"/>
      <c r="FK49" s="507"/>
      <c r="FL49" s="507"/>
      <c r="FM49" s="507"/>
      <c r="FN49" s="507"/>
      <c r="FO49" s="507"/>
      <c r="FP49" s="507"/>
      <c r="FQ49" s="507"/>
      <c r="FR49" s="507"/>
      <c r="FS49" s="507"/>
      <c r="FT49" s="507"/>
      <c r="FU49" s="507"/>
      <c r="FV49" s="507"/>
      <c r="FW49" s="507"/>
      <c r="FX49" s="507"/>
      <c r="FY49" s="507"/>
      <c r="FZ49" s="507"/>
      <c r="GA49" s="507"/>
      <c r="GB49" s="507"/>
      <c r="GC49" s="507"/>
      <c r="GD49" s="507"/>
      <c r="GE49" s="507"/>
      <c r="GF49" s="507"/>
      <c r="GG49" s="507"/>
      <c r="GH49" s="507"/>
      <c r="GI49" s="507"/>
      <c r="GJ49" s="507"/>
      <c r="GK49" s="507"/>
      <c r="GL49" s="507"/>
      <c r="GM49" s="507"/>
      <c r="GN49" s="507"/>
      <c r="GO49" s="507"/>
      <c r="GP49" s="507"/>
      <c r="GQ49" s="507"/>
      <c r="GR49" s="507"/>
      <c r="GS49" s="507"/>
      <c r="GT49" s="507"/>
      <c r="GU49" s="507"/>
      <c r="GV49" s="507"/>
      <c r="GW49" s="507"/>
      <c r="GX49" s="507"/>
      <c r="GY49" s="507"/>
      <c r="GZ49" s="507"/>
      <c r="HA49" s="507"/>
      <c r="HB49" s="507"/>
      <c r="HC49" s="507"/>
      <c r="HD49" s="507"/>
      <c r="HE49" s="507"/>
      <c r="HF49" s="507"/>
      <c r="HG49" s="507"/>
      <c r="HH49" s="507"/>
      <c r="HI49" s="507"/>
      <c r="HJ49" s="507"/>
      <c r="HK49" s="507"/>
      <c r="HL49" s="507"/>
      <c r="HM49" s="507"/>
      <c r="HN49" s="507"/>
      <c r="HO49" s="507"/>
      <c r="HP49" s="507"/>
      <c r="HQ49" s="507"/>
      <c r="HR49" s="507"/>
      <c r="HS49" s="507"/>
      <c r="HT49" s="507"/>
      <c r="HU49" s="507"/>
      <c r="HV49" s="507"/>
      <c r="HW49" s="507"/>
      <c r="HX49" s="507"/>
      <c r="HY49" s="507"/>
      <c r="HZ49" s="507"/>
      <c r="IA49" s="507"/>
      <c r="IB49" s="507"/>
      <c r="IC49" s="507"/>
      <c r="ID49" s="507"/>
      <c r="IE49" s="507"/>
      <c r="IF49" s="507"/>
      <c r="IG49" s="507"/>
      <c r="IH49" s="507"/>
      <c r="II49" s="507"/>
      <c r="IJ49" s="520"/>
      <c r="IK49" s="520"/>
      <c r="IL49" s="507"/>
      <c r="IM49" s="507"/>
      <c r="IN49" s="507"/>
      <c r="IO49" s="507"/>
      <c r="IP49" s="507"/>
      <c r="IQ49" s="507"/>
      <c r="IR49" s="507"/>
      <c r="IS49" s="507"/>
      <c r="IT49" s="507"/>
      <c r="IU49" s="507"/>
      <c r="IV49" s="507"/>
      <c r="IW49" s="507"/>
      <c r="IX49" s="507"/>
      <c r="IY49" s="507"/>
      <c r="IZ49" s="507"/>
      <c r="JA49" s="520"/>
      <c r="JB49" s="507"/>
      <c r="JC49" s="507"/>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104" t="s">
        <v>3541</v>
      </c>
      <c r="B50" s="2104"/>
      <c r="C50" s="2104"/>
      <c r="D50" s="1135" t="s">
        <v>587</v>
      </c>
      <c r="E50" s="1141">
        <v>0</v>
      </c>
      <c r="F50" s="1137">
        <f>'Part VI-Revenues &amp; Expenses'!$J$106</f>
        <v>0</v>
      </c>
      <c r="G50" s="1138">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9">
        <f>F50*G50</f>
        <v>0</v>
      </c>
      <c r="J50" s="43"/>
      <c r="K50" s="1137">
        <f>'Part VI-Revenues &amp; Expenses'!$J$107</f>
        <v>0</v>
      </c>
      <c r="L50" s="1138">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9">
        <f>K50*L50</f>
        <v>0</v>
      </c>
      <c r="P50" s="2095">
        <f ca="1">'Part IV-Uses of Funds'!$G$131</f>
        <v>25231313.324578471</v>
      </c>
      <c r="Q50" s="2096"/>
      <c r="R50" s="457"/>
      <c r="S50" s="1175"/>
      <c r="T50" s="43"/>
      <c r="U50" s="36"/>
      <c r="V50" s="509"/>
      <c r="W50" s="509"/>
      <c r="X50" s="512"/>
      <c r="Y50" s="509"/>
      <c r="Z50" s="521"/>
      <c r="AA50" s="522"/>
      <c r="AB50" s="522"/>
      <c r="AC50" s="522"/>
      <c r="AD50" s="522"/>
      <c r="AE50" s="522"/>
      <c r="AF50" s="522"/>
      <c r="AG50" s="875"/>
      <c r="AH50" s="507"/>
      <c r="AI50" s="507"/>
      <c r="AJ50" s="507"/>
      <c r="AK50" s="507"/>
      <c r="AL50" s="507"/>
      <c r="AM50" s="507"/>
      <c r="AN50" s="507"/>
      <c r="AO50" s="507"/>
      <c r="AP50" s="507"/>
      <c r="AQ50" s="507"/>
      <c r="AR50" s="507"/>
      <c r="AS50" s="507"/>
      <c r="AT50" s="507"/>
      <c r="AU50" s="507"/>
      <c r="AV50" s="507"/>
      <c r="AW50" s="507"/>
      <c r="AX50" s="507"/>
      <c r="AY50" s="507"/>
      <c r="AZ50" s="507"/>
      <c r="BA50" s="507"/>
      <c r="BB50" s="507"/>
      <c r="BC50" s="507"/>
      <c r="BD50" s="507"/>
      <c r="BE50" s="507"/>
      <c r="BF50" s="507"/>
      <c r="BG50" s="507"/>
      <c r="BH50" s="507"/>
      <c r="BI50" s="507"/>
      <c r="BJ50" s="507"/>
      <c r="BK50" s="507"/>
      <c r="BL50" s="507"/>
      <c r="BM50" s="507"/>
      <c r="BN50" s="507"/>
      <c r="BO50" s="507"/>
      <c r="BP50" s="507"/>
      <c r="BQ50" s="507"/>
      <c r="BR50" s="507"/>
      <c r="BS50" s="507"/>
      <c r="BT50" s="507"/>
      <c r="BU50" s="507"/>
      <c r="BV50" s="507"/>
      <c r="BW50" s="507"/>
      <c r="BX50" s="507"/>
      <c r="BY50" s="507"/>
      <c r="BZ50" s="507"/>
      <c r="CA50" s="507"/>
      <c r="CB50" s="507"/>
      <c r="CC50" s="507"/>
      <c r="CD50" s="507"/>
      <c r="CE50" s="507"/>
      <c r="CF50" s="507"/>
      <c r="CG50" s="507"/>
      <c r="CH50" s="507"/>
      <c r="CI50" s="507"/>
      <c r="CJ50" s="507"/>
      <c r="CK50" s="507"/>
      <c r="CL50" s="507"/>
      <c r="CM50" s="507"/>
      <c r="CN50" s="507"/>
      <c r="CO50" s="507"/>
      <c r="CP50" s="507"/>
      <c r="CQ50" s="507"/>
      <c r="CR50" s="507"/>
      <c r="CS50" s="507"/>
      <c r="CT50" s="507"/>
      <c r="CU50" s="507"/>
      <c r="CV50" s="507"/>
      <c r="CW50" s="507"/>
      <c r="CX50" s="507"/>
      <c r="CY50" s="507"/>
      <c r="CZ50" s="507"/>
      <c r="DA50" s="507"/>
      <c r="DB50" s="507"/>
      <c r="DC50" s="507"/>
      <c r="DD50" s="507"/>
      <c r="DE50" s="507"/>
      <c r="DF50" s="507"/>
      <c r="DG50" s="507"/>
      <c r="DH50" s="507"/>
      <c r="DI50" s="507"/>
      <c r="DJ50" s="507"/>
      <c r="DK50" s="507"/>
      <c r="DL50" s="507"/>
      <c r="DM50" s="507"/>
      <c r="DN50" s="507"/>
      <c r="DO50" s="507"/>
      <c r="DP50" s="507"/>
      <c r="DQ50" s="507"/>
      <c r="DR50" s="507"/>
      <c r="DS50" s="507"/>
      <c r="DT50" s="507"/>
      <c r="DU50" s="507"/>
      <c r="DV50" s="507"/>
      <c r="DW50" s="507"/>
      <c r="DX50" s="507"/>
      <c r="DY50" s="507"/>
      <c r="DZ50" s="507"/>
      <c r="EA50" s="507"/>
      <c r="EB50" s="507"/>
      <c r="EC50" s="507"/>
      <c r="ED50" s="507"/>
      <c r="EE50" s="507"/>
      <c r="EF50" s="507"/>
      <c r="EG50" s="507"/>
      <c r="EH50" s="507"/>
      <c r="EI50" s="507"/>
      <c r="EJ50" s="507"/>
      <c r="EK50" s="507"/>
      <c r="EL50" s="507"/>
      <c r="EM50" s="507"/>
      <c r="EN50" s="507"/>
      <c r="EO50" s="507"/>
      <c r="EP50" s="507"/>
      <c r="EQ50" s="507"/>
      <c r="ER50" s="507"/>
      <c r="ES50" s="507"/>
      <c r="ET50" s="507"/>
      <c r="EU50" s="507"/>
      <c r="EV50" s="507"/>
      <c r="EW50" s="507"/>
      <c r="EX50" s="507"/>
      <c r="EY50" s="507"/>
      <c r="EZ50" s="507"/>
      <c r="FA50" s="507"/>
      <c r="FB50" s="507"/>
      <c r="FC50" s="507"/>
      <c r="FD50" s="507"/>
      <c r="FE50" s="507"/>
      <c r="FF50" s="507"/>
      <c r="FG50" s="507"/>
      <c r="FH50" s="507"/>
      <c r="FI50" s="507"/>
      <c r="FJ50" s="507"/>
      <c r="FK50" s="507"/>
      <c r="FL50" s="507"/>
      <c r="FM50" s="507"/>
      <c r="FN50" s="507"/>
      <c r="FO50" s="507"/>
      <c r="FP50" s="507"/>
      <c r="FQ50" s="507"/>
      <c r="FR50" s="507"/>
      <c r="FS50" s="507"/>
      <c r="FT50" s="507"/>
      <c r="FU50" s="507"/>
      <c r="FV50" s="507"/>
      <c r="FW50" s="507"/>
      <c r="FX50" s="507"/>
      <c r="FY50" s="507"/>
      <c r="FZ50" s="507"/>
      <c r="GA50" s="507"/>
      <c r="GB50" s="507"/>
      <c r="GC50" s="507"/>
      <c r="GD50" s="507"/>
      <c r="GE50" s="507"/>
      <c r="GF50" s="507"/>
      <c r="GG50" s="507"/>
      <c r="GH50" s="507"/>
      <c r="GI50" s="507"/>
      <c r="GJ50" s="507"/>
      <c r="GK50" s="507"/>
      <c r="GL50" s="507"/>
      <c r="GM50" s="507"/>
      <c r="GN50" s="507"/>
      <c r="GO50" s="507"/>
      <c r="GP50" s="507"/>
      <c r="GQ50" s="507"/>
      <c r="GR50" s="507"/>
      <c r="GS50" s="507"/>
      <c r="GT50" s="507"/>
      <c r="GU50" s="507"/>
      <c r="GV50" s="507"/>
      <c r="GW50" s="507"/>
      <c r="GX50" s="507"/>
      <c r="GY50" s="507"/>
      <c r="GZ50" s="507"/>
      <c r="HA50" s="507"/>
      <c r="HB50" s="507"/>
      <c r="HC50" s="507"/>
      <c r="HD50" s="507"/>
      <c r="HE50" s="507"/>
      <c r="HF50" s="507"/>
      <c r="HG50" s="507"/>
      <c r="HH50" s="507"/>
      <c r="HI50" s="507"/>
      <c r="HJ50" s="507"/>
      <c r="HK50" s="507"/>
      <c r="HL50" s="507"/>
      <c r="HM50" s="507"/>
      <c r="HN50" s="507"/>
      <c r="HO50" s="507"/>
      <c r="HP50" s="507"/>
      <c r="HQ50" s="507"/>
      <c r="HR50" s="507"/>
      <c r="HS50" s="507"/>
      <c r="HT50" s="507"/>
      <c r="HU50" s="507"/>
      <c r="HV50" s="507"/>
      <c r="HW50" s="507"/>
      <c r="HX50" s="507"/>
      <c r="HY50" s="507"/>
      <c r="HZ50" s="507"/>
      <c r="IA50" s="507"/>
      <c r="IB50" s="507"/>
      <c r="IC50" s="507"/>
      <c r="ID50" s="507"/>
      <c r="IE50" s="507"/>
      <c r="IF50" s="507"/>
      <c r="IG50" s="507"/>
      <c r="IH50" s="507"/>
      <c r="II50" s="507"/>
      <c r="IJ50" s="520"/>
      <c r="IK50" s="520"/>
      <c r="IL50" s="507"/>
      <c r="IM50" s="507"/>
      <c r="IN50" s="507"/>
      <c r="IO50" s="507"/>
      <c r="IP50" s="507"/>
      <c r="IQ50" s="507"/>
      <c r="IR50" s="507"/>
      <c r="IS50" s="507"/>
      <c r="IT50" s="507"/>
      <c r="IU50" s="507"/>
      <c r="IV50" s="507"/>
      <c r="IW50" s="507"/>
      <c r="IX50" s="507"/>
      <c r="IY50" s="507"/>
      <c r="IZ50" s="507"/>
      <c r="JA50" s="520"/>
      <c r="JB50" s="507"/>
      <c r="JC50" s="507"/>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104"/>
      <c r="B51" s="2104"/>
      <c r="C51" s="2104"/>
      <c r="D51" s="1135" t="s">
        <v>2525</v>
      </c>
      <c r="E51" s="1136">
        <v>1</v>
      </c>
      <c r="F51" s="1137">
        <f>'Part VI-Revenues &amp; Expenses'!$K$106</f>
        <v>0</v>
      </c>
      <c r="G51" s="1138">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9">
        <f>F51*G51</f>
        <v>0</v>
      </c>
      <c r="J51" s="43"/>
      <c r="K51" s="1137">
        <f>'Part VI-Revenues &amp; Expenses'!$K$107</f>
        <v>0</v>
      </c>
      <c r="L51" s="1138">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9">
        <f>K51*L51</f>
        <v>0</v>
      </c>
      <c r="P51" s="2097"/>
      <c r="Q51" s="2098"/>
      <c r="R51" s="457"/>
      <c r="U51" s="36"/>
      <c r="V51" s="509"/>
      <c r="W51" s="509"/>
      <c r="X51" s="512"/>
      <c r="Y51" s="509"/>
      <c r="Z51" s="521"/>
      <c r="AA51" s="522"/>
      <c r="AB51" s="522"/>
      <c r="AC51" s="522"/>
      <c r="AD51" s="522"/>
      <c r="AE51" s="522"/>
      <c r="AF51" s="522"/>
      <c r="AG51" s="875"/>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507"/>
      <c r="BI51" s="507"/>
      <c r="BJ51" s="507"/>
      <c r="BK51" s="507"/>
      <c r="BL51" s="507"/>
      <c r="BM51" s="507"/>
      <c r="BN51" s="507"/>
      <c r="BO51" s="507"/>
      <c r="BP51" s="507"/>
      <c r="BQ51" s="507"/>
      <c r="BR51" s="507"/>
      <c r="BS51" s="507"/>
      <c r="BT51" s="507"/>
      <c r="BU51" s="507"/>
      <c r="BV51" s="507"/>
      <c r="BW51" s="507"/>
      <c r="BX51" s="507"/>
      <c r="BY51" s="507"/>
      <c r="BZ51" s="507"/>
      <c r="CA51" s="507"/>
      <c r="CB51" s="507"/>
      <c r="CC51" s="507"/>
      <c r="CD51" s="507"/>
      <c r="CE51" s="507"/>
      <c r="CF51" s="507"/>
      <c r="CG51" s="507"/>
      <c r="CH51" s="507"/>
      <c r="CI51" s="507"/>
      <c r="CJ51" s="507"/>
      <c r="CK51" s="507"/>
      <c r="CL51" s="507"/>
      <c r="CM51" s="507"/>
      <c r="CN51" s="507"/>
      <c r="CO51" s="507"/>
      <c r="CP51" s="507"/>
      <c r="CQ51" s="507"/>
      <c r="CR51" s="507"/>
      <c r="CS51" s="507"/>
      <c r="CT51" s="507"/>
      <c r="CU51" s="507"/>
      <c r="CV51" s="507"/>
      <c r="CW51" s="507"/>
      <c r="CX51" s="507"/>
      <c r="CY51" s="507"/>
      <c r="CZ51" s="507"/>
      <c r="DA51" s="507"/>
      <c r="DB51" s="507"/>
      <c r="DC51" s="507"/>
      <c r="DD51" s="507"/>
      <c r="DE51" s="507"/>
      <c r="DF51" s="507"/>
      <c r="DG51" s="507"/>
      <c r="DH51" s="507"/>
      <c r="DI51" s="507"/>
      <c r="DJ51" s="507"/>
      <c r="DK51" s="507"/>
      <c r="DL51" s="507"/>
      <c r="DM51" s="507"/>
      <c r="DN51" s="507"/>
      <c r="DO51" s="507"/>
      <c r="DP51" s="507"/>
      <c r="DQ51" s="507"/>
      <c r="DR51" s="507"/>
      <c r="DS51" s="507"/>
      <c r="DT51" s="507"/>
      <c r="DU51" s="507"/>
      <c r="DV51" s="507"/>
      <c r="DW51" s="507"/>
      <c r="DX51" s="507"/>
      <c r="DY51" s="507"/>
      <c r="DZ51" s="507"/>
      <c r="EA51" s="507"/>
      <c r="EB51" s="507"/>
      <c r="EC51" s="507"/>
      <c r="ED51" s="507"/>
      <c r="EE51" s="507"/>
      <c r="EF51" s="507"/>
      <c r="EG51" s="507"/>
      <c r="EH51" s="507"/>
      <c r="EI51" s="507"/>
      <c r="EJ51" s="507"/>
      <c r="EK51" s="507"/>
      <c r="EL51" s="507"/>
      <c r="EM51" s="507"/>
      <c r="EN51" s="507"/>
      <c r="EO51" s="507"/>
      <c r="EP51" s="507"/>
      <c r="EQ51" s="507"/>
      <c r="ER51" s="507"/>
      <c r="ES51" s="507"/>
      <c r="ET51" s="507"/>
      <c r="EU51" s="507"/>
      <c r="EV51" s="507"/>
      <c r="EW51" s="507"/>
      <c r="EX51" s="507"/>
      <c r="EY51" s="507"/>
      <c r="EZ51" s="507"/>
      <c r="FA51" s="507"/>
      <c r="FB51" s="507"/>
      <c r="FC51" s="507"/>
      <c r="FD51" s="507"/>
      <c r="FE51" s="507"/>
      <c r="FF51" s="507"/>
      <c r="FG51" s="507"/>
      <c r="FH51" s="507"/>
      <c r="FI51" s="507"/>
      <c r="FJ51" s="507"/>
      <c r="FK51" s="507"/>
      <c r="FL51" s="507"/>
      <c r="FM51" s="507"/>
      <c r="FN51" s="507"/>
      <c r="FO51" s="507"/>
      <c r="FP51" s="507"/>
      <c r="FQ51" s="507"/>
      <c r="FR51" s="507"/>
      <c r="FS51" s="507"/>
      <c r="FT51" s="507"/>
      <c r="FU51" s="507"/>
      <c r="FV51" s="507"/>
      <c r="FW51" s="507"/>
      <c r="FX51" s="507"/>
      <c r="FY51" s="507"/>
      <c r="FZ51" s="507"/>
      <c r="GA51" s="507"/>
      <c r="GB51" s="507"/>
      <c r="GC51" s="507"/>
      <c r="GD51" s="507"/>
      <c r="GE51" s="507"/>
      <c r="GF51" s="507"/>
      <c r="GG51" s="507"/>
      <c r="GH51" s="507"/>
      <c r="GI51" s="507"/>
      <c r="GJ51" s="507"/>
      <c r="GK51" s="507"/>
      <c r="GL51" s="507"/>
      <c r="GM51" s="507"/>
      <c r="GN51" s="507"/>
      <c r="GO51" s="507"/>
      <c r="GP51" s="507"/>
      <c r="GQ51" s="507"/>
      <c r="GR51" s="507"/>
      <c r="GS51" s="507"/>
      <c r="GT51" s="507"/>
      <c r="GU51" s="507"/>
      <c r="GV51" s="507"/>
      <c r="GW51" s="507"/>
      <c r="GX51" s="507"/>
      <c r="GY51" s="507"/>
      <c r="GZ51" s="507"/>
      <c r="HA51" s="507"/>
      <c r="HB51" s="507"/>
      <c r="HC51" s="507"/>
      <c r="HD51" s="507"/>
      <c r="HE51" s="507"/>
      <c r="HF51" s="507"/>
      <c r="HG51" s="507"/>
      <c r="HH51" s="507"/>
      <c r="HI51" s="507"/>
      <c r="HJ51" s="507"/>
      <c r="HK51" s="507"/>
      <c r="HL51" s="507"/>
      <c r="HM51" s="507"/>
      <c r="HN51" s="507"/>
      <c r="HO51" s="507"/>
      <c r="HP51" s="507"/>
      <c r="HQ51" s="507"/>
      <c r="HR51" s="507"/>
      <c r="HS51" s="507"/>
      <c r="HT51" s="507"/>
      <c r="HU51" s="507"/>
      <c r="HV51" s="507"/>
      <c r="HW51" s="507"/>
      <c r="HX51" s="507"/>
      <c r="HY51" s="507"/>
      <c r="HZ51" s="507"/>
      <c r="IA51" s="507"/>
      <c r="IB51" s="507"/>
      <c r="IC51" s="507"/>
      <c r="ID51" s="507"/>
      <c r="IE51" s="507"/>
      <c r="IF51" s="507"/>
      <c r="IG51" s="507"/>
      <c r="IH51" s="507"/>
      <c r="II51" s="507"/>
      <c r="IJ51" s="520"/>
      <c r="IK51" s="520"/>
      <c r="IL51" s="507"/>
      <c r="IM51" s="507"/>
      <c r="IN51" s="507"/>
      <c r="IO51" s="507"/>
      <c r="IP51" s="507"/>
      <c r="IQ51" s="507"/>
      <c r="IR51" s="507"/>
      <c r="IS51" s="507"/>
      <c r="IT51" s="507"/>
      <c r="IU51" s="507"/>
      <c r="IV51" s="507"/>
      <c r="IW51" s="507"/>
      <c r="IX51" s="507"/>
      <c r="IY51" s="507"/>
      <c r="IZ51" s="507"/>
      <c r="JA51" s="520"/>
      <c r="JB51" s="507"/>
      <c r="JC51" s="507"/>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104"/>
      <c r="B52" s="2104"/>
      <c r="C52" s="2104"/>
      <c r="D52" s="1135" t="s">
        <v>2526</v>
      </c>
      <c r="E52" s="1136">
        <v>2</v>
      </c>
      <c r="F52" s="1137">
        <f>'Part VI-Revenues &amp; Expenses'!$L$106</f>
        <v>0</v>
      </c>
      <c r="G52" s="1138">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9">
        <f>F52*G52</f>
        <v>0</v>
      </c>
      <c r="J52" s="43"/>
      <c r="K52" s="1137">
        <f>'Part VI-Revenues &amp; Expenses'!$L$107</f>
        <v>0</v>
      </c>
      <c r="L52" s="1138">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9">
        <f>K52*L52</f>
        <v>0</v>
      </c>
      <c r="O52" s="745"/>
      <c r="P52" s="2117" t="s">
        <v>4052</v>
      </c>
      <c r="Q52" s="2117"/>
      <c r="R52" s="457"/>
      <c r="S52" s="43"/>
      <c r="T52" s="43"/>
      <c r="U52" s="36"/>
      <c r="V52" s="509"/>
      <c r="W52" s="509"/>
      <c r="X52" s="512"/>
      <c r="Y52" s="509"/>
      <c r="Z52" s="521"/>
      <c r="AA52" s="522"/>
      <c r="AB52" s="522"/>
      <c r="AC52" s="522"/>
      <c r="AD52" s="522"/>
      <c r="AE52" s="522"/>
      <c r="AF52" s="522"/>
      <c r="AG52" s="875"/>
      <c r="AH52" s="507"/>
      <c r="AI52" s="507"/>
      <c r="AJ52" s="507"/>
      <c r="AK52" s="507"/>
      <c r="AL52" s="507"/>
      <c r="AM52" s="507"/>
      <c r="AN52" s="507"/>
      <c r="AO52" s="507"/>
      <c r="AP52" s="507"/>
      <c r="AQ52" s="507"/>
      <c r="AR52" s="507"/>
      <c r="AS52" s="507"/>
      <c r="AT52" s="507"/>
      <c r="AU52" s="507"/>
      <c r="AV52" s="507"/>
      <c r="AW52" s="507"/>
      <c r="AX52" s="507"/>
      <c r="AY52" s="507"/>
      <c r="AZ52" s="507"/>
      <c r="BA52" s="507"/>
      <c r="BB52" s="507"/>
      <c r="BC52" s="507"/>
      <c r="BD52" s="507"/>
      <c r="BE52" s="507"/>
      <c r="BF52" s="507"/>
      <c r="BG52" s="507"/>
      <c r="BH52" s="507"/>
      <c r="BI52" s="507"/>
      <c r="BJ52" s="507"/>
      <c r="BK52" s="507"/>
      <c r="BL52" s="507"/>
      <c r="BM52" s="507"/>
      <c r="BN52" s="507"/>
      <c r="BO52" s="507"/>
      <c r="BP52" s="507"/>
      <c r="BQ52" s="507"/>
      <c r="BR52" s="507"/>
      <c r="BS52" s="507"/>
      <c r="BT52" s="507"/>
      <c r="BU52" s="507"/>
      <c r="BV52" s="507"/>
      <c r="BW52" s="507"/>
      <c r="BX52" s="507"/>
      <c r="BY52" s="507"/>
      <c r="BZ52" s="507"/>
      <c r="CA52" s="507"/>
      <c r="CB52" s="507"/>
      <c r="CC52" s="507"/>
      <c r="CD52" s="507"/>
      <c r="CE52" s="507"/>
      <c r="CF52" s="507"/>
      <c r="CG52" s="507"/>
      <c r="CH52" s="507"/>
      <c r="CI52" s="507"/>
      <c r="CJ52" s="507"/>
      <c r="CK52" s="507"/>
      <c r="CL52" s="507"/>
      <c r="CM52" s="507"/>
      <c r="CN52" s="507"/>
      <c r="CO52" s="507"/>
      <c r="CP52" s="507"/>
      <c r="CQ52" s="507"/>
      <c r="CR52" s="507"/>
      <c r="CS52" s="507"/>
      <c r="CT52" s="507"/>
      <c r="CU52" s="507"/>
      <c r="CV52" s="507"/>
      <c r="CW52" s="507"/>
      <c r="CX52" s="507"/>
      <c r="CY52" s="507"/>
      <c r="CZ52" s="507"/>
      <c r="DA52" s="507"/>
      <c r="DB52" s="507"/>
      <c r="DC52" s="507"/>
      <c r="DD52" s="507"/>
      <c r="DE52" s="507"/>
      <c r="DF52" s="507"/>
      <c r="DG52" s="507"/>
      <c r="DH52" s="507"/>
      <c r="DI52" s="507"/>
      <c r="DJ52" s="507"/>
      <c r="DK52" s="507"/>
      <c r="DL52" s="507"/>
      <c r="DM52" s="507"/>
      <c r="DN52" s="507"/>
      <c r="DO52" s="507"/>
      <c r="DP52" s="507"/>
      <c r="DQ52" s="507"/>
      <c r="DR52" s="507"/>
      <c r="DS52" s="507"/>
      <c r="DT52" s="507"/>
      <c r="DU52" s="507"/>
      <c r="DV52" s="507"/>
      <c r="DW52" s="507"/>
      <c r="DX52" s="507"/>
      <c r="DY52" s="507"/>
      <c r="DZ52" s="507"/>
      <c r="EA52" s="507"/>
      <c r="EB52" s="507"/>
      <c r="EC52" s="507"/>
      <c r="ED52" s="507"/>
      <c r="EE52" s="507"/>
      <c r="EF52" s="507"/>
      <c r="EG52" s="507"/>
      <c r="EH52" s="507"/>
      <c r="EI52" s="507"/>
      <c r="EJ52" s="507"/>
      <c r="EK52" s="507"/>
      <c r="EL52" s="507"/>
      <c r="EM52" s="507"/>
      <c r="EN52" s="507"/>
      <c r="EO52" s="507"/>
      <c r="EP52" s="507"/>
      <c r="EQ52" s="507"/>
      <c r="ER52" s="507"/>
      <c r="ES52" s="507"/>
      <c r="ET52" s="507"/>
      <c r="EU52" s="507"/>
      <c r="EV52" s="507"/>
      <c r="EW52" s="507"/>
      <c r="EX52" s="507"/>
      <c r="EY52" s="507"/>
      <c r="EZ52" s="507"/>
      <c r="FA52" s="507"/>
      <c r="FB52" s="507"/>
      <c r="FC52" s="507"/>
      <c r="FD52" s="507"/>
      <c r="FE52" s="507"/>
      <c r="FF52" s="507"/>
      <c r="FG52" s="507"/>
      <c r="FH52" s="507"/>
      <c r="FI52" s="507"/>
      <c r="FJ52" s="507"/>
      <c r="FK52" s="507"/>
      <c r="FL52" s="507"/>
      <c r="FM52" s="507"/>
      <c r="FN52" s="507"/>
      <c r="FO52" s="507"/>
      <c r="FP52" s="507"/>
      <c r="FQ52" s="507"/>
      <c r="FR52" s="507"/>
      <c r="FS52" s="507"/>
      <c r="FT52" s="507"/>
      <c r="FU52" s="507"/>
      <c r="FV52" s="507"/>
      <c r="FW52" s="507"/>
      <c r="FX52" s="507"/>
      <c r="FY52" s="507"/>
      <c r="FZ52" s="507"/>
      <c r="GA52" s="507"/>
      <c r="GB52" s="507"/>
      <c r="GC52" s="507"/>
      <c r="GD52" s="507"/>
      <c r="GE52" s="507"/>
      <c r="GF52" s="507"/>
      <c r="GG52" s="507"/>
      <c r="GH52" s="507"/>
      <c r="GI52" s="507"/>
      <c r="GJ52" s="507"/>
      <c r="GK52" s="507"/>
      <c r="GL52" s="507"/>
      <c r="GM52" s="507"/>
      <c r="GN52" s="507"/>
      <c r="GO52" s="507"/>
      <c r="GP52" s="507"/>
      <c r="GQ52" s="507"/>
      <c r="GR52" s="507"/>
      <c r="GS52" s="507"/>
      <c r="GT52" s="507"/>
      <c r="GU52" s="507"/>
      <c r="GV52" s="507"/>
      <c r="GW52" s="507"/>
      <c r="GX52" s="507"/>
      <c r="GY52" s="507"/>
      <c r="GZ52" s="507"/>
      <c r="HA52" s="507"/>
      <c r="HB52" s="507"/>
      <c r="HC52" s="507"/>
      <c r="HD52" s="507"/>
      <c r="HE52" s="507"/>
      <c r="HF52" s="507"/>
      <c r="HG52" s="507"/>
      <c r="HH52" s="507"/>
      <c r="HI52" s="507"/>
      <c r="HJ52" s="507"/>
      <c r="HK52" s="507"/>
      <c r="HL52" s="507"/>
      <c r="HM52" s="507"/>
      <c r="HN52" s="507"/>
      <c r="HO52" s="507"/>
      <c r="HP52" s="507"/>
      <c r="HQ52" s="507"/>
      <c r="HR52" s="507"/>
      <c r="HS52" s="507"/>
      <c r="HT52" s="507"/>
      <c r="HU52" s="507"/>
      <c r="HV52" s="507"/>
      <c r="HW52" s="507"/>
      <c r="HX52" s="507"/>
      <c r="HY52" s="507"/>
      <c r="HZ52" s="507"/>
      <c r="IA52" s="507"/>
      <c r="IB52" s="507"/>
      <c r="IC52" s="507"/>
      <c r="ID52" s="507"/>
      <c r="IE52" s="507"/>
      <c r="IF52" s="507"/>
      <c r="IG52" s="507"/>
      <c r="IH52" s="507"/>
      <c r="II52" s="507"/>
      <c r="IJ52" s="520"/>
      <c r="IK52" s="520"/>
      <c r="IL52" s="507"/>
      <c r="IM52" s="507"/>
      <c r="IN52" s="507"/>
      <c r="IO52" s="507"/>
      <c r="IP52" s="507"/>
      <c r="IQ52" s="507"/>
      <c r="IR52" s="507"/>
      <c r="IS52" s="507"/>
      <c r="IT52" s="507"/>
      <c r="IU52" s="507"/>
      <c r="IV52" s="507"/>
      <c r="IW52" s="507"/>
      <c r="IX52" s="507"/>
      <c r="IY52" s="507"/>
      <c r="IZ52" s="507"/>
      <c r="JA52" s="520"/>
      <c r="JB52" s="507"/>
      <c r="JC52" s="507"/>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5" t="s">
        <v>2527</v>
      </c>
      <c r="E53" s="1136">
        <v>3</v>
      </c>
      <c r="F53" s="1137">
        <f>'Part VI-Revenues &amp; Expenses'!$M$106</f>
        <v>0</v>
      </c>
      <c r="G53" s="1138">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9">
        <f>F53*G53</f>
        <v>0</v>
      </c>
      <c r="J53" s="43"/>
      <c r="K53" s="1137">
        <f>'Part VI-Revenues &amp; Expenses'!$M$107</f>
        <v>0</v>
      </c>
      <c r="L53" s="1138">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9">
        <f>K53*L53</f>
        <v>0</v>
      </c>
      <c r="O53" s="745"/>
      <c r="P53" s="2091"/>
      <c r="Q53" s="2092"/>
      <c r="R53" s="457"/>
      <c r="U53" s="36"/>
      <c r="V53" s="509"/>
      <c r="W53" s="509"/>
      <c r="X53" s="512"/>
      <c r="Y53" s="509"/>
      <c r="Z53" s="521"/>
      <c r="AA53" s="522"/>
      <c r="AB53" s="522"/>
      <c r="AC53" s="522"/>
      <c r="AD53" s="522"/>
      <c r="AE53" s="522"/>
      <c r="AF53" s="522"/>
      <c r="AG53" s="875"/>
      <c r="AH53" s="507"/>
      <c r="AI53" s="507"/>
      <c r="AJ53" s="507"/>
      <c r="AK53" s="507"/>
      <c r="AL53" s="507"/>
      <c r="AM53" s="507"/>
      <c r="AN53" s="507"/>
      <c r="AO53" s="507"/>
      <c r="AP53" s="507"/>
      <c r="AQ53" s="507"/>
      <c r="AR53" s="507"/>
      <c r="AS53" s="507"/>
      <c r="AT53" s="507"/>
      <c r="AU53" s="507"/>
      <c r="AV53" s="507"/>
      <c r="AW53" s="507"/>
      <c r="AX53" s="507"/>
      <c r="AY53" s="507"/>
      <c r="AZ53" s="507"/>
      <c r="BA53" s="507"/>
      <c r="BB53" s="507"/>
      <c r="BC53" s="507"/>
      <c r="BD53" s="507"/>
      <c r="BE53" s="507"/>
      <c r="BF53" s="507"/>
      <c r="BG53" s="507"/>
      <c r="BH53" s="507"/>
      <c r="BI53" s="507"/>
      <c r="BJ53" s="507"/>
      <c r="BK53" s="507"/>
      <c r="BL53" s="507"/>
      <c r="BM53" s="507"/>
      <c r="BN53" s="507"/>
      <c r="BO53" s="507"/>
      <c r="BP53" s="507"/>
      <c r="BQ53" s="507"/>
      <c r="BR53" s="507"/>
      <c r="BS53" s="507"/>
      <c r="BT53" s="507"/>
      <c r="BU53" s="507"/>
      <c r="BV53" s="507"/>
      <c r="BW53" s="507"/>
      <c r="BX53" s="507"/>
      <c r="BY53" s="507"/>
      <c r="BZ53" s="507"/>
      <c r="CA53" s="507"/>
      <c r="CB53" s="507"/>
      <c r="CC53" s="507"/>
      <c r="CD53" s="507"/>
      <c r="CE53" s="507"/>
      <c r="CF53" s="507"/>
      <c r="CG53" s="507"/>
      <c r="CH53" s="507"/>
      <c r="CI53" s="507"/>
      <c r="CJ53" s="507"/>
      <c r="CK53" s="507"/>
      <c r="CL53" s="507"/>
      <c r="CM53" s="507"/>
      <c r="CN53" s="507"/>
      <c r="CO53" s="507"/>
      <c r="CP53" s="507"/>
      <c r="CQ53" s="507"/>
      <c r="CR53" s="507"/>
      <c r="CS53" s="507"/>
      <c r="CT53" s="507"/>
      <c r="CU53" s="507"/>
      <c r="CV53" s="507"/>
      <c r="CW53" s="507"/>
      <c r="CX53" s="507"/>
      <c r="CY53" s="507"/>
      <c r="CZ53" s="507"/>
      <c r="DA53" s="507"/>
      <c r="DB53" s="507"/>
      <c r="DC53" s="507"/>
      <c r="DD53" s="507"/>
      <c r="DE53" s="507"/>
      <c r="DF53" s="507"/>
      <c r="DG53" s="507"/>
      <c r="DH53" s="507"/>
      <c r="DI53" s="507"/>
      <c r="DJ53" s="507"/>
      <c r="DK53" s="507"/>
      <c r="DL53" s="507"/>
      <c r="DM53" s="507"/>
      <c r="DN53" s="507"/>
      <c r="DO53" s="507"/>
      <c r="DP53" s="507"/>
      <c r="DQ53" s="507"/>
      <c r="DR53" s="507"/>
      <c r="DS53" s="507"/>
      <c r="DT53" s="507"/>
      <c r="DU53" s="507"/>
      <c r="DV53" s="507"/>
      <c r="DW53" s="507"/>
      <c r="DX53" s="507"/>
      <c r="DY53" s="507"/>
      <c r="DZ53" s="507"/>
      <c r="EA53" s="507"/>
      <c r="EB53" s="507"/>
      <c r="EC53" s="507"/>
      <c r="ED53" s="507"/>
      <c r="EE53" s="507"/>
      <c r="EF53" s="507"/>
      <c r="EG53" s="507"/>
      <c r="EH53" s="507"/>
      <c r="EI53" s="507"/>
      <c r="EJ53" s="507"/>
      <c r="EK53" s="507"/>
      <c r="EL53" s="507"/>
      <c r="EM53" s="507"/>
      <c r="EN53" s="507"/>
      <c r="EO53" s="507"/>
      <c r="EP53" s="507"/>
      <c r="EQ53" s="507"/>
      <c r="ER53" s="507"/>
      <c r="ES53" s="507"/>
      <c r="ET53" s="507"/>
      <c r="EU53" s="507"/>
      <c r="EV53" s="507"/>
      <c r="EW53" s="507"/>
      <c r="EX53" s="507"/>
      <c r="EY53" s="507"/>
      <c r="EZ53" s="507"/>
      <c r="FA53" s="507"/>
      <c r="FB53" s="507"/>
      <c r="FC53" s="507"/>
      <c r="FD53" s="507"/>
      <c r="FE53" s="507"/>
      <c r="FF53" s="507"/>
      <c r="FG53" s="507"/>
      <c r="FH53" s="507"/>
      <c r="FI53" s="507"/>
      <c r="FJ53" s="507"/>
      <c r="FK53" s="507"/>
      <c r="FL53" s="507"/>
      <c r="FM53" s="507"/>
      <c r="FN53" s="507"/>
      <c r="FO53" s="507"/>
      <c r="FP53" s="507"/>
      <c r="FQ53" s="507"/>
      <c r="FR53" s="507"/>
      <c r="FS53" s="507"/>
      <c r="FT53" s="507"/>
      <c r="FU53" s="507"/>
      <c r="FV53" s="507"/>
      <c r="FW53" s="507"/>
      <c r="FX53" s="507"/>
      <c r="FY53" s="507"/>
      <c r="FZ53" s="507"/>
      <c r="GA53" s="507"/>
      <c r="GB53" s="507"/>
      <c r="GC53" s="507"/>
      <c r="GD53" s="507"/>
      <c r="GE53" s="507"/>
      <c r="GF53" s="507"/>
      <c r="GG53" s="507"/>
      <c r="GH53" s="507"/>
      <c r="GI53" s="507"/>
      <c r="GJ53" s="507"/>
      <c r="GK53" s="507"/>
      <c r="GL53" s="507"/>
      <c r="GM53" s="507"/>
      <c r="GN53" s="507"/>
      <c r="GO53" s="507"/>
      <c r="GP53" s="507"/>
      <c r="GQ53" s="507"/>
      <c r="GR53" s="507"/>
      <c r="GS53" s="507"/>
      <c r="GT53" s="507"/>
      <c r="GU53" s="507"/>
      <c r="GV53" s="507"/>
      <c r="GW53" s="507"/>
      <c r="GX53" s="507"/>
      <c r="GY53" s="507"/>
      <c r="GZ53" s="507"/>
      <c r="HA53" s="507"/>
      <c r="HB53" s="507"/>
      <c r="HC53" s="507"/>
      <c r="HD53" s="507"/>
      <c r="HE53" s="507"/>
      <c r="HF53" s="507"/>
      <c r="HG53" s="507"/>
      <c r="HH53" s="507"/>
      <c r="HI53" s="507"/>
      <c r="HJ53" s="507"/>
      <c r="HK53" s="507"/>
      <c r="HL53" s="507"/>
      <c r="HM53" s="507"/>
      <c r="HN53" s="507"/>
      <c r="HO53" s="507"/>
      <c r="HP53" s="507"/>
      <c r="HQ53" s="507"/>
      <c r="HR53" s="507"/>
      <c r="HS53" s="507"/>
      <c r="HT53" s="507"/>
      <c r="HU53" s="507"/>
      <c r="HV53" s="507"/>
      <c r="HW53" s="507"/>
      <c r="HX53" s="507"/>
      <c r="HY53" s="507"/>
      <c r="HZ53" s="507"/>
      <c r="IA53" s="507"/>
      <c r="IB53" s="507"/>
      <c r="IC53" s="507"/>
      <c r="ID53" s="507"/>
      <c r="IE53" s="507"/>
      <c r="IF53" s="507"/>
      <c r="IG53" s="507"/>
      <c r="IH53" s="507"/>
      <c r="II53" s="507"/>
      <c r="IJ53" s="520"/>
      <c r="IK53" s="520"/>
      <c r="IL53" s="507"/>
      <c r="IM53" s="507"/>
      <c r="IN53" s="507"/>
      <c r="IO53" s="507"/>
      <c r="IP53" s="507"/>
      <c r="IQ53" s="507"/>
      <c r="IR53" s="507"/>
      <c r="IS53" s="507"/>
      <c r="IT53" s="507"/>
      <c r="IU53" s="507"/>
      <c r="IV53" s="507"/>
      <c r="IW53" s="507"/>
      <c r="IX53" s="507"/>
      <c r="IY53" s="507"/>
      <c r="IZ53" s="507"/>
      <c r="JA53" s="520"/>
      <c r="JB53" s="507"/>
      <c r="JC53" s="507"/>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0" t="s">
        <v>2528</v>
      </c>
      <c r="E54" s="1136">
        <v>4</v>
      </c>
      <c r="F54" s="1137">
        <f>'Part VI-Revenues &amp; Expenses'!$N$106</f>
        <v>0</v>
      </c>
      <c r="G54" s="1138">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9">
        <f>F54*G54</f>
        <v>0</v>
      </c>
      <c r="J54" s="43"/>
      <c r="K54" s="1137">
        <f>'Part VI-Revenues &amp; Expenses'!$N$107</f>
        <v>0</v>
      </c>
      <c r="L54" s="1138">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9">
        <f>K54*L54</f>
        <v>0</v>
      </c>
      <c r="O54" s="745"/>
      <c r="P54" s="2093"/>
      <c r="Q54" s="2094"/>
      <c r="R54" s="457"/>
      <c r="S54" s="457"/>
      <c r="T54" s="36"/>
      <c r="U54" s="36"/>
      <c r="V54" s="509"/>
      <c r="W54" s="509"/>
      <c r="X54" s="512"/>
      <c r="Y54" s="509"/>
      <c r="Z54" s="521"/>
      <c r="AA54" s="522"/>
      <c r="AB54" s="522"/>
      <c r="AC54" s="522"/>
      <c r="AD54" s="522"/>
      <c r="AE54" s="522"/>
      <c r="AF54" s="522"/>
      <c r="AG54" s="875"/>
      <c r="AH54" s="507"/>
      <c r="AI54" s="507"/>
      <c r="AJ54" s="507"/>
      <c r="AK54" s="507"/>
      <c r="AL54" s="507"/>
      <c r="AM54" s="507"/>
      <c r="AN54" s="507"/>
      <c r="AO54" s="507"/>
      <c r="AP54" s="507"/>
      <c r="AQ54" s="507"/>
      <c r="AR54" s="507"/>
      <c r="AS54" s="507"/>
      <c r="AT54" s="507"/>
      <c r="AU54" s="507"/>
      <c r="AV54" s="507"/>
      <c r="AW54" s="507"/>
      <c r="AX54" s="507"/>
      <c r="AY54" s="507"/>
      <c r="AZ54" s="507"/>
      <c r="BA54" s="507"/>
      <c r="BB54" s="507"/>
      <c r="BC54" s="507"/>
      <c r="BD54" s="507"/>
      <c r="BE54" s="507"/>
      <c r="BF54" s="507"/>
      <c r="BG54" s="507"/>
      <c r="BH54" s="507"/>
      <c r="BI54" s="507"/>
      <c r="BJ54" s="507"/>
      <c r="BK54" s="507"/>
      <c r="BL54" s="507"/>
      <c r="BM54" s="507"/>
      <c r="BN54" s="507"/>
      <c r="BO54" s="507"/>
      <c r="BP54" s="507"/>
      <c r="BQ54" s="507"/>
      <c r="BR54" s="507"/>
      <c r="BS54" s="507"/>
      <c r="BT54" s="507"/>
      <c r="BU54" s="507"/>
      <c r="BV54" s="507"/>
      <c r="BW54" s="507"/>
      <c r="BX54" s="507"/>
      <c r="BY54" s="507"/>
      <c r="BZ54" s="507"/>
      <c r="CA54" s="507"/>
      <c r="CB54" s="507"/>
      <c r="CC54" s="507"/>
      <c r="CD54" s="507"/>
      <c r="CE54" s="507"/>
      <c r="CF54" s="507"/>
      <c r="CG54" s="507"/>
      <c r="CH54" s="507"/>
      <c r="CI54" s="507"/>
      <c r="CJ54" s="507"/>
      <c r="CK54" s="507"/>
      <c r="CL54" s="507"/>
      <c r="CM54" s="507"/>
      <c r="CN54" s="507"/>
      <c r="CO54" s="507"/>
      <c r="CP54" s="507"/>
      <c r="CQ54" s="507"/>
      <c r="CR54" s="507"/>
      <c r="CS54" s="507"/>
      <c r="CT54" s="507"/>
      <c r="CU54" s="507"/>
      <c r="CV54" s="507"/>
      <c r="CW54" s="507"/>
      <c r="CX54" s="507"/>
      <c r="CY54" s="507"/>
      <c r="CZ54" s="507"/>
      <c r="DA54" s="507"/>
      <c r="DB54" s="507"/>
      <c r="DC54" s="507"/>
      <c r="DD54" s="507"/>
      <c r="DE54" s="507"/>
      <c r="DF54" s="507"/>
      <c r="DG54" s="507"/>
      <c r="DH54" s="507"/>
      <c r="DI54" s="507"/>
      <c r="DJ54" s="507"/>
      <c r="DK54" s="507"/>
      <c r="DL54" s="507"/>
      <c r="DM54" s="507"/>
      <c r="DN54" s="507"/>
      <c r="DO54" s="507"/>
      <c r="DP54" s="507"/>
      <c r="DQ54" s="507"/>
      <c r="DR54" s="507"/>
      <c r="DS54" s="507"/>
      <c r="DT54" s="507"/>
      <c r="DU54" s="507"/>
      <c r="DV54" s="507"/>
      <c r="DW54" s="507"/>
      <c r="DX54" s="507"/>
      <c r="DY54" s="507"/>
      <c r="DZ54" s="507"/>
      <c r="EA54" s="507"/>
      <c r="EB54" s="507"/>
      <c r="EC54" s="507"/>
      <c r="ED54" s="507"/>
      <c r="EE54" s="507"/>
      <c r="EF54" s="507"/>
      <c r="EG54" s="507"/>
      <c r="EH54" s="507"/>
      <c r="EI54" s="507"/>
      <c r="EJ54" s="507"/>
      <c r="EK54" s="507"/>
      <c r="EL54" s="507"/>
      <c r="EM54" s="507"/>
      <c r="EN54" s="507"/>
      <c r="EO54" s="507"/>
      <c r="EP54" s="507"/>
      <c r="EQ54" s="507"/>
      <c r="ER54" s="507"/>
      <c r="ES54" s="507"/>
      <c r="ET54" s="507"/>
      <c r="EU54" s="507"/>
      <c r="EV54" s="507"/>
      <c r="EW54" s="507"/>
      <c r="EX54" s="507"/>
      <c r="EY54" s="507"/>
      <c r="EZ54" s="507"/>
      <c r="FA54" s="507"/>
      <c r="FB54" s="507"/>
      <c r="FC54" s="507"/>
      <c r="FD54" s="507"/>
      <c r="FE54" s="507"/>
      <c r="FF54" s="507"/>
      <c r="FG54" s="507"/>
      <c r="FH54" s="507"/>
      <c r="FI54" s="507"/>
      <c r="FJ54" s="507"/>
      <c r="FK54" s="507"/>
      <c r="FL54" s="507"/>
      <c r="FM54" s="507"/>
      <c r="FN54" s="507"/>
      <c r="FO54" s="507"/>
      <c r="FP54" s="507"/>
      <c r="FQ54" s="507"/>
      <c r="FR54" s="507"/>
      <c r="FS54" s="507"/>
      <c r="FT54" s="507"/>
      <c r="FU54" s="507"/>
      <c r="FV54" s="507"/>
      <c r="FW54" s="507"/>
      <c r="FX54" s="507"/>
      <c r="FY54" s="507"/>
      <c r="FZ54" s="507"/>
      <c r="GA54" s="507"/>
      <c r="GB54" s="507"/>
      <c r="GC54" s="507"/>
      <c r="GD54" s="507"/>
      <c r="GE54" s="507"/>
      <c r="GF54" s="507"/>
      <c r="GG54" s="507"/>
      <c r="GH54" s="507"/>
      <c r="GI54" s="507"/>
      <c r="GJ54" s="507"/>
      <c r="GK54" s="507"/>
      <c r="GL54" s="507"/>
      <c r="GM54" s="507"/>
      <c r="GN54" s="507"/>
      <c r="GO54" s="507"/>
      <c r="GP54" s="507"/>
      <c r="GQ54" s="507"/>
      <c r="GR54" s="507"/>
      <c r="GS54" s="507"/>
      <c r="GT54" s="507"/>
      <c r="GU54" s="507"/>
      <c r="GV54" s="507"/>
      <c r="GW54" s="507"/>
      <c r="GX54" s="507"/>
      <c r="GY54" s="507"/>
      <c r="GZ54" s="507"/>
      <c r="HA54" s="507"/>
      <c r="HB54" s="507"/>
      <c r="HC54" s="507"/>
      <c r="HD54" s="507"/>
      <c r="HE54" s="507"/>
      <c r="HF54" s="507"/>
      <c r="HG54" s="507"/>
      <c r="HH54" s="507"/>
      <c r="HI54" s="507"/>
      <c r="HJ54" s="507"/>
      <c r="HK54" s="507"/>
      <c r="HL54" s="507"/>
      <c r="HM54" s="507"/>
      <c r="HN54" s="507"/>
      <c r="HO54" s="507"/>
      <c r="HP54" s="507"/>
      <c r="HQ54" s="507"/>
      <c r="HR54" s="507"/>
      <c r="HS54" s="507"/>
      <c r="HT54" s="507"/>
      <c r="HU54" s="507"/>
      <c r="HV54" s="507"/>
      <c r="HW54" s="507"/>
      <c r="HX54" s="507"/>
      <c r="HY54" s="507"/>
      <c r="HZ54" s="507"/>
      <c r="IA54" s="507"/>
      <c r="IB54" s="507"/>
      <c r="IC54" s="507"/>
      <c r="ID54" s="507"/>
      <c r="IE54" s="507"/>
      <c r="IF54" s="507"/>
      <c r="IG54" s="507"/>
      <c r="IH54" s="507"/>
      <c r="II54" s="507"/>
      <c r="IJ54" s="520"/>
      <c r="IK54" s="520"/>
      <c r="IL54" s="507"/>
      <c r="IM54" s="507"/>
      <c r="IN54" s="507"/>
      <c r="IO54" s="507"/>
      <c r="IP54" s="507"/>
      <c r="IQ54" s="507"/>
      <c r="IR54" s="507"/>
      <c r="IS54" s="507"/>
      <c r="IT54" s="507"/>
      <c r="IU54" s="507"/>
      <c r="IV54" s="507"/>
      <c r="IW54" s="507"/>
      <c r="IX54" s="507"/>
      <c r="IY54" s="507"/>
      <c r="IZ54" s="507"/>
      <c r="JA54" s="520"/>
      <c r="JB54" s="507"/>
      <c r="JC54" s="507"/>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3" t="s">
        <v>3557</v>
      </c>
      <c r="E55" s="36"/>
      <c r="F55" s="812">
        <f>SUM(F50:F54)</f>
        <v>0</v>
      </c>
      <c r="G55" s="832"/>
      <c r="H55" s="813"/>
      <c r="I55" s="814">
        <f>SUM(I50:I54)</f>
        <v>0</v>
      </c>
      <c r="J55" s="815"/>
      <c r="K55" s="812">
        <f>SUM(K50:K54)</f>
        <v>0</v>
      </c>
      <c r="L55" s="815"/>
      <c r="M55" s="813"/>
      <c r="N55" s="814">
        <f>SUM(N50:N54)</f>
        <v>0</v>
      </c>
      <c r="O55" s="745"/>
      <c r="P55" s="2101" t="s">
        <v>4043</v>
      </c>
      <c r="Q55" s="2101"/>
      <c r="R55" s="457"/>
      <c r="S55" s="457"/>
      <c r="T55" s="36"/>
      <c r="U55" s="36"/>
      <c r="V55" s="509"/>
      <c r="W55" s="509"/>
      <c r="X55" s="512"/>
      <c r="Y55" s="509"/>
      <c r="Z55" s="521"/>
      <c r="AA55" s="522"/>
      <c r="AB55" s="522"/>
      <c r="AC55" s="522"/>
      <c r="AD55" s="522"/>
      <c r="AE55" s="522"/>
      <c r="AF55" s="522"/>
      <c r="AG55" s="875"/>
      <c r="AH55" s="507"/>
      <c r="AI55" s="507"/>
      <c r="AJ55" s="507"/>
      <c r="AK55" s="507"/>
      <c r="AL55" s="507"/>
      <c r="AM55" s="507"/>
      <c r="AN55" s="507"/>
      <c r="AO55" s="507"/>
      <c r="AP55" s="507"/>
      <c r="AQ55" s="507"/>
      <c r="AR55" s="507"/>
      <c r="AS55" s="507"/>
      <c r="AT55" s="507"/>
      <c r="AU55" s="507"/>
      <c r="AV55" s="507"/>
      <c r="AW55" s="507"/>
      <c r="AX55" s="507"/>
      <c r="AY55" s="507"/>
      <c r="AZ55" s="507"/>
      <c r="BA55" s="507"/>
      <c r="BB55" s="507"/>
      <c r="BC55" s="507"/>
      <c r="BD55" s="507"/>
      <c r="BE55" s="507"/>
      <c r="BF55" s="507"/>
      <c r="BG55" s="507"/>
      <c r="BH55" s="507"/>
      <c r="BI55" s="507"/>
      <c r="BJ55" s="507"/>
      <c r="BK55" s="507"/>
      <c r="BL55" s="507"/>
      <c r="BM55" s="507"/>
      <c r="BN55" s="507"/>
      <c r="BO55" s="507"/>
      <c r="BP55" s="507"/>
      <c r="BQ55" s="507"/>
      <c r="BR55" s="507"/>
      <c r="BS55" s="507"/>
      <c r="BT55" s="507"/>
      <c r="BU55" s="507"/>
      <c r="BV55" s="507"/>
      <c r="BW55" s="507"/>
      <c r="BX55" s="507"/>
      <c r="BY55" s="507"/>
      <c r="BZ55" s="507"/>
      <c r="CA55" s="507"/>
      <c r="CB55" s="507"/>
      <c r="CC55" s="507"/>
      <c r="CD55" s="507"/>
      <c r="CE55" s="507"/>
      <c r="CF55" s="507"/>
      <c r="CG55" s="507"/>
      <c r="CH55" s="507"/>
      <c r="CI55" s="507"/>
      <c r="CJ55" s="507"/>
      <c r="CK55" s="507"/>
      <c r="CL55" s="507"/>
      <c r="CM55" s="507"/>
      <c r="CN55" s="507"/>
      <c r="CO55" s="507"/>
      <c r="CP55" s="507"/>
      <c r="CQ55" s="507"/>
      <c r="CR55" s="507"/>
      <c r="CS55" s="507"/>
      <c r="CT55" s="507"/>
      <c r="CU55" s="507"/>
      <c r="CV55" s="507"/>
      <c r="CW55" s="507"/>
      <c r="CX55" s="507"/>
      <c r="CY55" s="507"/>
      <c r="CZ55" s="507"/>
      <c r="DA55" s="507"/>
      <c r="DB55" s="507"/>
      <c r="DC55" s="507"/>
      <c r="DD55" s="507"/>
      <c r="DE55" s="507"/>
      <c r="DF55" s="507"/>
      <c r="DG55" s="507"/>
      <c r="DH55" s="507"/>
      <c r="DI55" s="507"/>
      <c r="DJ55" s="507"/>
      <c r="DK55" s="507"/>
      <c r="DL55" s="507"/>
      <c r="DM55" s="507"/>
      <c r="DN55" s="507"/>
      <c r="DO55" s="507"/>
      <c r="DP55" s="507"/>
      <c r="DQ55" s="507"/>
      <c r="DR55" s="507"/>
      <c r="DS55" s="507"/>
      <c r="DT55" s="507"/>
      <c r="DU55" s="507"/>
      <c r="DV55" s="507"/>
      <c r="DW55" s="507"/>
      <c r="DX55" s="507"/>
      <c r="DY55" s="507"/>
      <c r="DZ55" s="507"/>
      <c r="EA55" s="507"/>
      <c r="EB55" s="507"/>
      <c r="EC55" s="507"/>
      <c r="ED55" s="507"/>
      <c r="EE55" s="507"/>
      <c r="EF55" s="507"/>
      <c r="EG55" s="507"/>
      <c r="EH55" s="507"/>
      <c r="EI55" s="507"/>
      <c r="EJ55" s="507"/>
      <c r="EK55" s="507"/>
      <c r="EL55" s="507"/>
      <c r="EM55" s="507"/>
      <c r="EN55" s="507"/>
      <c r="EO55" s="507"/>
      <c r="EP55" s="507"/>
      <c r="EQ55" s="507"/>
      <c r="ER55" s="507"/>
      <c r="ES55" s="507"/>
      <c r="ET55" s="507"/>
      <c r="EU55" s="507"/>
      <c r="EV55" s="507"/>
      <c r="EW55" s="507"/>
      <c r="EX55" s="507"/>
      <c r="EY55" s="507"/>
      <c r="EZ55" s="507"/>
      <c r="FA55" s="507"/>
      <c r="FB55" s="507"/>
      <c r="FC55" s="507"/>
      <c r="FD55" s="507"/>
      <c r="FE55" s="507"/>
      <c r="FF55" s="507"/>
      <c r="FG55" s="507"/>
      <c r="FH55" s="507"/>
      <c r="FI55" s="507"/>
      <c r="FJ55" s="507"/>
      <c r="FK55" s="507"/>
      <c r="FL55" s="507"/>
      <c r="FM55" s="507"/>
      <c r="FN55" s="507"/>
      <c r="FO55" s="507"/>
      <c r="FP55" s="507"/>
      <c r="FQ55" s="507"/>
      <c r="FR55" s="507"/>
      <c r="FS55" s="507"/>
      <c r="FT55" s="507"/>
      <c r="FU55" s="507"/>
      <c r="FV55" s="507"/>
      <c r="FW55" s="507"/>
      <c r="FX55" s="507"/>
      <c r="FY55" s="507"/>
      <c r="FZ55" s="507"/>
      <c r="GA55" s="507"/>
      <c r="GB55" s="507"/>
      <c r="GC55" s="507"/>
      <c r="GD55" s="507"/>
      <c r="GE55" s="507"/>
      <c r="GF55" s="507"/>
      <c r="GG55" s="507"/>
      <c r="GH55" s="507"/>
      <c r="GI55" s="507"/>
      <c r="GJ55" s="507"/>
      <c r="GK55" s="507"/>
      <c r="GL55" s="507"/>
      <c r="GM55" s="507"/>
      <c r="GN55" s="507"/>
      <c r="GO55" s="507"/>
      <c r="GP55" s="507"/>
      <c r="GQ55" s="507"/>
      <c r="GR55" s="507"/>
      <c r="GS55" s="507"/>
      <c r="GT55" s="507"/>
      <c r="GU55" s="507"/>
      <c r="GV55" s="507"/>
      <c r="GW55" s="507"/>
      <c r="GX55" s="507"/>
      <c r="GY55" s="507"/>
      <c r="GZ55" s="507"/>
      <c r="HA55" s="507"/>
      <c r="HB55" s="507"/>
      <c r="HC55" s="507"/>
      <c r="HD55" s="507"/>
      <c r="HE55" s="507"/>
      <c r="HF55" s="507"/>
      <c r="HG55" s="507"/>
      <c r="HH55" s="507"/>
      <c r="HI55" s="507"/>
      <c r="HJ55" s="507"/>
      <c r="HK55" s="507"/>
      <c r="HL55" s="507"/>
      <c r="HM55" s="507"/>
      <c r="HN55" s="507"/>
      <c r="HO55" s="507"/>
      <c r="HP55" s="507"/>
      <c r="HQ55" s="507"/>
      <c r="HR55" s="507"/>
      <c r="HS55" s="507"/>
      <c r="HT55" s="507"/>
      <c r="HU55" s="507"/>
      <c r="HV55" s="507"/>
      <c r="HW55" s="507"/>
      <c r="HX55" s="507"/>
      <c r="HY55" s="507"/>
      <c r="HZ55" s="507"/>
      <c r="IA55" s="507"/>
      <c r="IB55" s="507"/>
      <c r="IC55" s="507"/>
      <c r="ID55" s="507"/>
      <c r="IE55" s="507"/>
      <c r="IF55" s="507"/>
      <c r="IG55" s="507"/>
      <c r="IH55" s="507"/>
      <c r="II55" s="507"/>
      <c r="IJ55" s="520"/>
      <c r="IK55" s="520"/>
      <c r="IL55" s="507"/>
      <c r="IM55" s="507"/>
      <c r="IN55" s="507"/>
      <c r="IO55" s="507"/>
      <c r="IP55" s="507"/>
      <c r="IQ55" s="507"/>
      <c r="IR55" s="507"/>
      <c r="IS55" s="507"/>
      <c r="IT55" s="507"/>
      <c r="IU55" s="507"/>
      <c r="IV55" s="507"/>
      <c r="IW55" s="507"/>
      <c r="IX55" s="507"/>
      <c r="IY55" s="507"/>
      <c r="IZ55" s="507"/>
      <c r="JA55" s="520"/>
      <c r="JB55" s="507"/>
      <c r="JC55" s="507"/>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1"/>
      <c r="E56" s="651"/>
      <c r="F56" s="833"/>
      <c r="G56" s="150"/>
      <c r="H56" s="36"/>
      <c r="I56" s="1144"/>
      <c r="J56" s="36"/>
      <c r="K56" s="833"/>
      <c r="L56" s="36"/>
      <c r="M56" s="1814"/>
      <c r="N56" s="1144"/>
      <c r="O56" s="745"/>
      <c r="R56" s="457"/>
      <c r="S56" s="457"/>
      <c r="T56" s="36"/>
      <c r="U56" s="36"/>
      <c r="V56" s="509"/>
      <c r="W56" s="509"/>
      <c r="X56" s="512"/>
      <c r="Y56" s="509"/>
      <c r="Z56" s="521"/>
      <c r="AA56" s="522"/>
      <c r="AB56" s="522"/>
      <c r="AC56" s="522"/>
      <c r="AD56" s="522"/>
      <c r="AE56" s="522"/>
      <c r="AF56" s="522"/>
      <c r="AG56" s="875"/>
      <c r="AH56" s="507"/>
      <c r="AI56" s="507"/>
      <c r="AJ56" s="507"/>
      <c r="AK56" s="507"/>
      <c r="AL56" s="507"/>
      <c r="AM56" s="507"/>
      <c r="AN56" s="507"/>
      <c r="AO56" s="507"/>
      <c r="AP56" s="507"/>
      <c r="AQ56" s="507"/>
      <c r="AR56" s="507"/>
      <c r="AS56" s="507"/>
      <c r="AT56" s="507"/>
      <c r="AU56" s="507"/>
      <c r="AV56" s="507"/>
      <c r="AW56" s="507"/>
      <c r="AX56" s="507"/>
      <c r="AY56" s="507"/>
      <c r="AZ56" s="507"/>
      <c r="BA56" s="507"/>
      <c r="BB56" s="507"/>
      <c r="BC56" s="507"/>
      <c r="BD56" s="507"/>
      <c r="BE56" s="507"/>
      <c r="BF56" s="507"/>
      <c r="BG56" s="507"/>
      <c r="BH56" s="507"/>
      <c r="BI56" s="507"/>
      <c r="BJ56" s="507"/>
      <c r="BK56" s="507"/>
      <c r="BL56" s="507"/>
      <c r="BM56" s="507"/>
      <c r="BN56" s="507"/>
      <c r="BO56" s="507"/>
      <c r="BP56" s="507"/>
      <c r="BQ56" s="507"/>
      <c r="BR56" s="507"/>
      <c r="BS56" s="507"/>
      <c r="BT56" s="507"/>
      <c r="BU56" s="507"/>
      <c r="BV56" s="507"/>
      <c r="BW56" s="507"/>
      <c r="BX56" s="507"/>
      <c r="BY56" s="507"/>
      <c r="BZ56" s="507"/>
      <c r="CA56" s="507"/>
      <c r="CB56" s="507"/>
      <c r="CC56" s="507"/>
      <c r="CD56" s="507"/>
      <c r="CE56" s="507"/>
      <c r="CF56" s="507"/>
      <c r="CG56" s="507"/>
      <c r="CH56" s="507"/>
      <c r="CI56" s="507"/>
      <c r="CJ56" s="507"/>
      <c r="CK56" s="507"/>
      <c r="CL56" s="507"/>
      <c r="CM56" s="507"/>
      <c r="CN56" s="507"/>
      <c r="CO56" s="507"/>
      <c r="CP56" s="507"/>
      <c r="CQ56" s="507"/>
      <c r="CR56" s="507"/>
      <c r="CS56" s="507"/>
      <c r="CT56" s="507"/>
      <c r="CU56" s="507"/>
      <c r="CV56" s="507"/>
      <c r="CW56" s="507"/>
      <c r="CX56" s="507"/>
      <c r="CY56" s="507"/>
      <c r="CZ56" s="507"/>
      <c r="DA56" s="507"/>
      <c r="DB56" s="507"/>
      <c r="DC56" s="507"/>
      <c r="DD56" s="507"/>
      <c r="DE56" s="507"/>
      <c r="DF56" s="507"/>
      <c r="DG56" s="507"/>
      <c r="DH56" s="507"/>
      <c r="DI56" s="507"/>
      <c r="DJ56" s="507"/>
      <c r="DK56" s="507"/>
      <c r="DL56" s="507"/>
      <c r="DM56" s="507"/>
      <c r="DN56" s="507"/>
      <c r="DO56" s="507"/>
      <c r="DP56" s="507"/>
      <c r="DQ56" s="507"/>
      <c r="DR56" s="507"/>
      <c r="DS56" s="507"/>
      <c r="DT56" s="507"/>
      <c r="DU56" s="507"/>
      <c r="DV56" s="507"/>
      <c r="DW56" s="507"/>
      <c r="DX56" s="507"/>
      <c r="DY56" s="507"/>
      <c r="DZ56" s="507"/>
      <c r="EA56" s="507"/>
      <c r="EB56" s="507"/>
      <c r="EC56" s="507"/>
      <c r="ED56" s="507"/>
      <c r="EE56" s="507"/>
      <c r="EF56" s="507"/>
      <c r="EG56" s="507"/>
      <c r="EH56" s="507"/>
      <c r="EI56" s="507"/>
      <c r="EJ56" s="507"/>
      <c r="EK56" s="507"/>
      <c r="EL56" s="507"/>
      <c r="EM56" s="507"/>
      <c r="EN56" s="507"/>
      <c r="EO56" s="507"/>
      <c r="EP56" s="507"/>
      <c r="EQ56" s="507"/>
      <c r="ER56" s="507"/>
      <c r="ES56" s="507"/>
      <c r="ET56" s="507"/>
      <c r="EU56" s="507"/>
      <c r="EV56" s="507"/>
      <c r="EW56" s="507"/>
      <c r="EX56" s="507"/>
      <c r="EY56" s="507"/>
      <c r="EZ56" s="507"/>
      <c r="FA56" s="507"/>
      <c r="FB56" s="507"/>
      <c r="FC56" s="507"/>
      <c r="FD56" s="507"/>
      <c r="FE56" s="507"/>
      <c r="FF56" s="507"/>
      <c r="FG56" s="507"/>
      <c r="FH56" s="507"/>
      <c r="FI56" s="507"/>
      <c r="FJ56" s="507"/>
      <c r="FK56" s="507"/>
      <c r="FL56" s="507"/>
      <c r="FM56" s="507"/>
      <c r="FN56" s="507"/>
      <c r="FO56" s="507"/>
      <c r="FP56" s="507"/>
      <c r="FQ56" s="507"/>
      <c r="FR56" s="507"/>
      <c r="FS56" s="507"/>
      <c r="FT56" s="507"/>
      <c r="FU56" s="507"/>
      <c r="FV56" s="507"/>
      <c r="FW56" s="507"/>
      <c r="FX56" s="507"/>
      <c r="FY56" s="507"/>
      <c r="FZ56" s="507"/>
      <c r="GA56" s="507"/>
      <c r="GB56" s="507"/>
      <c r="GC56" s="507"/>
      <c r="GD56" s="507"/>
      <c r="GE56" s="507"/>
      <c r="GF56" s="507"/>
      <c r="GG56" s="507"/>
      <c r="GH56" s="507"/>
      <c r="GI56" s="507"/>
      <c r="GJ56" s="507"/>
      <c r="GK56" s="507"/>
      <c r="GL56" s="507"/>
      <c r="GM56" s="507"/>
      <c r="GN56" s="507"/>
      <c r="GO56" s="507"/>
      <c r="GP56" s="507"/>
      <c r="GQ56" s="507"/>
      <c r="GR56" s="507"/>
      <c r="GS56" s="507"/>
      <c r="GT56" s="507"/>
      <c r="GU56" s="507"/>
      <c r="GV56" s="507"/>
      <c r="GW56" s="507"/>
      <c r="GX56" s="507"/>
      <c r="GY56" s="507"/>
      <c r="GZ56" s="507"/>
      <c r="HA56" s="507"/>
      <c r="HB56" s="507"/>
      <c r="HC56" s="507"/>
      <c r="HD56" s="507"/>
      <c r="HE56" s="507"/>
      <c r="HF56" s="507"/>
      <c r="HG56" s="507"/>
      <c r="HH56" s="507"/>
      <c r="HI56" s="507"/>
      <c r="HJ56" s="507"/>
      <c r="HK56" s="507"/>
      <c r="HL56" s="507"/>
      <c r="HM56" s="507"/>
      <c r="HN56" s="507"/>
      <c r="HO56" s="507"/>
      <c r="HP56" s="507"/>
      <c r="HQ56" s="507"/>
      <c r="HR56" s="507"/>
      <c r="HS56" s="507"/>
      <c r="HT56" s="507"/>
      <c r="HU56" s="507"/>
      <c r="HV56" s="507"/>
      <c r="HW56" s="507"/>
      <c r="HX56" s="507"/>
      <c r="HY56" s="507"/>
      <c r="HZ56" s="507"/>
      <c r="IA56" s="507"/>
      <c r="IB56" s="507"/>
      <c r="IC56" s="507"/>
      <c r="ID56" s="507"/>
      <c r="IE56" s="507"/>
      <c r="IF56" s="507"/>
      <c r="IG56" s="507"/>
      <c r="IH56" s="507"/>
      <c r="II56" s="507"/>
      <c r="IJ56" s="520"/>
      <c r="IK56" s="520"/>
      <c r="IL56" s="507"/>
      <c r="IM56" s="507"/>
      <c r="IN56" s="507"/>
      <c r="IO56" s="507"/>
      <c r="IP56" s="507"/>
      <c r="IQ56" s="507"/>
      <c r="IR56" s="507"/>
      <c r="IS56" s="507"/>
      <c r="IT56" s="507"/>
      <c r="IU56" s="507"/>
      <c r="IV56" s="507"/>
      <c r="IW56" s="507"/>
      <c r="IX56" s="507"/>
      <c r="IY56" s="507"/>
      <c r="IZ56" s="507"/>
      <c r="JA56" s="520"/>
      <c r="JB56" s="507"/>
      <c r="JC56" s="507"/>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2" t="s">
        <v>3542</v>
      </c>
      <c r="B57" s="761"/>
      <c r="C57" s="1"/>
      <c r="D57" s="1135" t="s">
        <v>587</v>
      </c>
      <c r="E57" s="1136">
        <v>0</v>
      </c>
      <c r="F57" s="1137">
        <f>'Part VI-Revenues &amp; Expenses'!$J$108</f>
        <v>0</v>
      </c>
      <c r="G57" s="1138">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9">
        <f>F57*G57</f>
        <v>0</v>
      </c>
      <c r="J57" s="43"/>
      <c r="K57" s="1137">
        <f>'Part VI-Revenues &amp; Expenses'!$J$109</f>
        <v>0</v>
      </c>
      <c r="L57" s="1138">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9">
        <f>K57*L57</f>
        <v>0</v>
      </c>
      <c r="O57" s="745"/>
      <c r="P57" s="2102">
        <f>'Part IX A-Scoring Criteria'!O314</f>
        <v>0</v>
      </c>
      <c r="Q57" s="2103"/>
      <c r="R57" s="457"/>
      <c r="U57" s="36"/>
      <c r="V57" s="509"/>
      <c r="W57" s="509"/>
      <c r="X57" s="512"/>
      <c r="Y57" s="509"/>
      <c r="Z57" s="521"/>
      <c r="AA57" s="522"/>
      <c r="AB57" s="522"/>
      <c r="AC57" s="522"/>
      <c r="AD57" s="522"/>
      <c r="AE57" s="522"/>
      <c r="AF57" s="522"/>
      <c r="AG57" s="875"/>
      <c r="AH57" s="507"/>
      <c r="AI57" s="507"/>
      <c r="AJ57" s="507"/>
      <c r="AK57" s="507"/>
      <c r="AL57" s="507"/>
      <c r="AM57" s="507"/>
      <c r="AN57" s="507"/>
      <c r="AO57" s="507"/>
      <c r="AP57" s="507"/>
      <c r="AQ57" s="507"/>
      <c r="AR57" s="507"/>
      <c r="AS57" s="507"/>
      <c r="AT57" s="507"/>
      <c r="AU57" s="507"/>
      <c r="AV57" s="507"/>
      <c r="AW57" s="507"/>
      <c r="AX57" s="507"/>
      <c r="AY57" s="507"/>
      <c r="AZ57" s="507"/>
      <c r="BA57" s="507"/>
      <c r="BB57" s="507"/>
      <c r="BC57" s="507"/>
      <c r="BD57" s="507"/>
      <c r="BE57" s="507"/>
      <c r="BF57" s="507"/>
      <c r="BG57" s="507"/>
      <c r="BH57" s="507"/>
      <c r="BI57" s="507"/>
      <c r="BJ57" s="507"/>
      <c r="BK57" s="507"/>
      <c r="BL57" s="507"/>
      <c r="BM57" s="507"/>
      <c r="BN57" s="507"/>
      <c r="BO57" s="507"/>
      <c r="BP57" s="507"/>
      <c r="BQ57" s="507"/>
      <c r="BR57" s="507"/>
      <c r="BS57" s="507"/>
      <c r="BT57" s="507"/>
      <c r="BU57" s="507"/>
      <c r="BV57" s="507"/>
      <c r="BW57" s="507"/>
      <c r="BX57" s="507"/>
      <c r="BY57" s="507"/>
      <c r="BZ57" s="507"/>
      <c r="CA57" s="507"/>
      <c r="CB57" s="507"/>
      <c r="CC57" s="507"/>
      <c r="CD57" s="507"/>
      <c r="CE57" s="507"/>
      <c r="CF57" s="507"/>
      <c r="CG57" s="507"/>
      <c r="CH57" s="507"/>
      <c r="CI57" s="507"/>
      <c r="CJ57" s="507"/>
      <c r="CK57" s="507"/>
      <c r="CL57" s="507"/>
      <c r="CM57" s="507"/>
      <c r="CN57" s="507"/>
      <c r="CO57" s="507"/>
      <c r="CP57" s="507"/>
      <c r="CQ57" s="507"/>
      <c r="CR57" s="507"/>
      <c r="CS57" s="507"/>
      <c r="CT57" s="507"/>
      <c r="CU57" s="507"/>
      <c r="CV57" s="507"/>
      <c r="CW57" s="507"/>
      <c r="CX57" s="507"/>
      <c r="CY57" s="507"/>
      <c r="CZ57" s="507"/>
      <c r="DA57" s="507"/>
      <c r="DB57" s="507"/>
      <c r="DC57" s="507"/>
      <c r="DD57" s="507"/>
      <c r="DE57" s="507"/>
      <c r="DF57" s="507"/>
      <c r="DG57" s="507"/>
      <c r="DH57" s="507"/>
      <c r="DI57" s="507"/>
      <c r="DJ57" s="507"/>
      <c r="DK57" s="507"/>
      <c r="DL57" s="507"/>
      <c r="DM57" s="507"/>
      <c r="DN57" s="507"/>
      <c r="DO57" s="507"/>
      <c r="DP57" s="507"/>
      <c r="DQ57" s="507"/>
      <c r="DR57" s="507"/>
      <c r="DS57" s="507"/>
      <c r="DT57" s="507"/>
      <c r="DU57" s="507"/>
      <c r="DV57" s="507"/>
      <c r="DW57" s="507"/>
      <c r="DX57" s="507"/>
      <c r="DY57" s="507"/>
      <c r="DZ57" s="507"/>
      <c r="EA57" s="507"/>
      <c r="EB57" s="507"/>
      <c r="EC57" s="507"/>
      <c r="ED57" s="507"/>
      <c r="EE57" s="507"/>
      <c r="EF57" s="507"/>
      <c r="EG57" s="507"/>
      <c r="EH57" s="507"/>
      <c r="EI57" s="507"/>
      <c r="EJ57" s="507"/>
      <c r="EK57" s="507"/>
      <c r="EL57" s="507"/>
      <c r="EM57" s="507"/>
      <c r="EN57" s="507"/>
      <c r="EO57" s="507"/>
      <c r="EP57" s="507"/>
      <c r="EQ57" s="507"/>
      <c r="ER57" s="507"/>
      <c r="ES57" s="507"/>
      <c r="ET57" s="507"/>
      <c r="EU57" s="507"/>
      <c r="EV57" s="507"/>
      <c r="EW57" s="507"/>
      <c r="EX57" s="507"/>
      <c r="EY57" s="507"/>
      <c r="EZ57" s="507"/>
      <c r="FA57" s="507"/>
      <c r="FB57" s="507"/>
      <c r="FC57" s="507"/>
      <c r="FD57" s="507"/>
      <c r="FE57" s="507"/>
      <c r="FF57" s="507"/>
      <c r="FG57" s="507"/>
      <c r="FH57" s="507"/>
      <c r="FI57" s="507"/>
      <c r="FJ57" s="507"/>
      <c r="FK57" s="507"/>
      <c r="FL57" s="507"/>
      <c r="FM57" s="507"/>
      <c r="FN57" s="507"/>
      <c r="FO57" s="507"/>
      <c r="FP57" s="507"/>
      <c r="FQ57" s="507"/>
      <c r="FR57" s="507"/>
      <c r="FS57" s="507"/>
      <c r="FT57" s="507"/>
      <c r="FU57" s="507"/>
      <c r="FV57" s="507"/>
      <c r="FW57" s="507"/>
      <c r="FX57" s="507"/>
      <c r="FY57" s="507"/>
      <c r="FZ57" s="507"/>
      <c r="GA57" s="507"/>
      <c r="GB57" s="507"/>
      <c r="GC57" s="507"/>
      <c r="GD57" s="507"/>
      <c r="GE57" s="507"/>
      <c r="GF57" s="507"/>
      <c r="GG57" s="507"/>
      <c r="GH57" s="507"/>
      <c r="GI57" s="507"/>
      <c r="GJ57" s="507"/>
      <c r="GK57" s="507"/>
      <c r="GL57" s="507"/>
      <c r="GM57" s="507"/>
      <c r="GN57" s="507"/>
      <c r="GO57" s="507"/>
      <c r="GP57" s="507"/>
      <c r="GQ57" s="507"/>
      <c r="GR57" s="507"/>
      <c r="GS57" s="507"/>
      <c r="GT57" s="507"/>
      <c r="GU57" s="507"/>
      <c r="GV57" s="507"/>
      <c r="GW57" s="507"/>
      <c r="GX57" s="507"/>
      <c r="GY57" s="507"/>
      <c r="GZ57" s="507"/>
      <c r="HA57" s="507"/>
      <c r="HB57" s="507"/>
      <c r="HC57" s="507"/>
      <c r="HD57" s="507"/>
      <c r="HE57" s="507"/>
      <c r="HF57" s="507"/>
      <c r="HG57" s="507"/>
      <c r="HH57" s="507"/>
      <c r="HI57" s="507"/>
      <c r="HJ57" s="507"/>
      <c r="HK57" s="507"/>
      <c r="HL57" s="507"/>
      <c r="HM57" s="507"/>
      <c r="HN57" s="507"/>
      <c r="HO57" s="507"/>
      <c r="HP57" s="507"/>
      <c r="HQ57" s="507"/>
      <c r="HR57" s="507"/>
      <c r="HS57" s="507"/>
      <c r="HT57" s="507"/>
      <c r="HU57" s="507"/>
      <c r="HV57" s="507"/>
      <c r="HW57" s="507"/>
      <c r="HX57" s="507"/>
      <c r="HY57" s="507"/>
      <c r="HZ57" s="507"/>
      <c r="IA57" s="507"/>
      <c r="IB57" s="507"/>
      <c r="IC57" s="507"/>
      <c r="ID57" s="507"/>
      <c r="IE57" s="507"/>
      <c r="IF57" s="507"/>
      <c r="IG57" s="507"/>
      <c r="IH57" s="507"/>
      <c r="II57" s="507"/>
      <c r="IJ57" s="520"/>
      <c r="IK57" s="520"/>
      <c r="IL57" s="507"/>
      <c r="IM57" s="507"/>
      <c r="IN57" s="507"/>
      <c r="IO57" s="507"/>
      <c r="IP57" s="507"/>
      <c r="IQ57" s="507"/>
      <c r="IR57" s="507"/>
      <c r="IS57" s="507"/>
      <c r="IT57" s="507"/>
      <c r="IU57" s="507"/>
      <c r="IV57" s="507"/>
      <c r="IW57" s="507"/>
      <c r="IX57" s="507"/>
      <c r="IY57" s="507"/>
      <c r="IZ57" s="507"/>
      <c r="JA57" s="520"/>
      <c r="JB57" s="507"/>
      <c r="JC57" s="507"/>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5" t="s">
        <v>2525</v>
      </c>
      <c r="E58" s="1136">
        <v>1</v>
      </c>
      <c r="F58" s="1137">
        <f>'Part VI-Revenues &amp; Expenses'!$K$108</f>
        <v>0</v>
      </c>
      <c r="G58" s="1138">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9">
        <f>F58*G58</f>
        <v>0</v>
      </c>
      <c r="J58" s="43"/>
      <c r="K58" s="1137">
        <f>'Part VI-Revenues &amp; Expenses'!$K$109</f>
        <v>0</v>
      </c>
      <c r="L58" s="1138">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9">
        <f>K58*L58</f>
        <v>0</v>
      </c>
      <c r="P58" s="2101" t="s">
        <v>4044</v>
      </c>
      <c r="Q58" s="2101"/>
      <c r="U58" s="36"/>
      <c r="V58" s="509"/>
      <c r="W58" s="509"/>
      <c r="X58" s="512"/>
      <c r="Y58" s="509"/>
      <c r="Z58" s="521"/>
      <c r="AA58" s="522"/>
      <c r="AB58" s="522"/>
      <c r="AC58" s="522"/>
      <c r="AD58" s="522"/>
      <c r="AE58" s="522"/>
      <c r="AF58" s="522"/>
      <c r="AG58" s="875"/>
      <c r="AH58" s="507"/>
      <c r="AI58" s="507"/>
      <c r="AJ58" s="507"/>
      <c r="AK58" s="507"/>
      <c r="AL58" s="507"/>
      <c r="AM58" s="507"/>
      <c r="AN58" s="507"/>
      <c r="AO58" s="507"/>
      <c r="AP58" s="507"/>
      <c r="AQ58" s="507"/>
      <c r="AR58" s="507"/>
      <c r="AS58" s="507"/>
      <c r="AT58" s="507"/>
      <c r="AU58" s="507"/>
      <c r="AV58" s="507"/>
      <c r="AW58" s="507"/>
      <c r="AX58" s="507"/>
      <c r="AY58" s="507"/>
      <c r="AZ58" s="507"/>
      <c r="BA58" s="507"/>
      <c r="BB58" s="507"/>
      <c r="BC58" s="507"/>
      <c r="BD58" s="507"/>
      <c r="BE58" s="507"/>
      <c r="BF58" s="507"/>
      <c r="BG58" s="507"/>
      <c r="BH58" s="507"/>
      <c r="BI58" s="507"/>
      <c r="BJ58" s="507"/>
      <c r="BK58" s="507"/>
      <c r="BL58" s="507"/>
      <c r="BM58" s="507"/>
      <c r="BN58" s="507"/>
      <c r="BO58" s="507"/>
      <c r="BP58" s="507"/>
      <c r="BQ58" s="507"/>
      <c r="BR58" s="507"/>
      <c r="BS58" s="507"/>
      <c r="BT58" s="507"/>
      <c r="BU58" s="507"/>
      <c r="BV58" s="507"/>
      <c r="BW58" s="507"/>
      <c r="BX58" s="507"/>
      <c r="BY58" s="507"/>
      <c r="BZ58" s="507"/>
      <c r="CA58" s="507"/>
      <c r="CB58" s="507"/>
      <c r="CC58" s="507"/>
      <c r="CD58" s="507"/>
      <c r="CE58" s="507"/>
      <c r="CF58" s="507"/>
      <c r="CG58" s="507"/>
      <c r="CH58" s="507"/>
      <c r="CI58" s="507"/>
      <c r="CJ58" s="507"/>
      <c r="CK58" s="507"/>
      <c r="CL58" s="507"/>
      <c r="CM58" s="507"/>
      <c r="CN58" s="507"/>
      <c r="CO58" s="507"/>
      <c r="CP58" s="507"/>
      <c r="CQ58" s="507"/>
      <c r="CR58" s="507"/>
      <c r="CS58" s="507"/>
      <c r="CT58" s="507"/>
      <c r="CU58" s="507"/>
      <c r="CV58" s="507"/>
      <c r="CW58" s="507"/>
      <c r="CX58" s="507"/>
      <c r="CY58" s="507"/>
      <c r="CZ58" s="507"/>
      <c r="DA58" s="507"/>
      <c r="DB58" s="507"/>
      <c r="DC58" s="507"/>
      <c r="DD58" s="507"/>
      <c r="DE58" s="507"/>
      <c r="DF58" s="507"/>
      <c r="DG58" s="507"/>
      <c r="DH58" s="507"/>
      <c r="DI58" s="507"/>
      <c r="DJ58" s="507"/>
      <c r="DK58" s="507"/>
      <c r="DL58" s="507"/>
      <c r="DM58" s="507"/>
      <c r="DN58" s="507"/>
      <c r="DO58" s="507"/>
      <c r="DP58" s="507"/>
      <c r="DQ58" s="507"/>
      <c r="DR58" s="507"/>
      <c r="DS58" s="507"/>
      <c r="DT58" s="507"/>
      <c r="DU58" s="507"/>
      <c r="DV58" s="507"/>
      <c r="DW58" s="507"/>
      <c r="DX58" s="507"/>
      <c r="DY58" s="507"/>
      <c r="DZ58" s="507"/>
      <c r="EA58" s="507"/>
      <c r="EB58" s="507"/>
      <c r="EC58" s="507"/>
      <c r="ED58" s="507"/>
      <c r="EE58" s="507"/>
      <c r="EF58" s="507"/>
      <c r="EG58" s="507"/>
      <c r="EH58" s="507"/>
      <c r="EI58" s="507"/>
      <c r="EJ58" s="507"/>
      <c r="EK58" s="507"/>
      <c r="EL58" s="507"/>
      <c r="EM58" s="507"/>
      <c r="EN58" s="507"/>
      <c r="EO58" s="507"/>
      <c r="EP58" s="507"/>
      <c r="EQ58" s="507"/>
      <c r="ER58" s="507"/>
      <c r="ES58" s="507"/>
      <c r="ET58" s="507"/>
      <c r="EU58" s="507"/>
      <c r="EV58" s="507"/>
      <c r="EW58" s="507"/>
      <c r="EX58" s="507"/>
      <c r="EY58" s="507"/>
      <c r="EZ58" s="507"/>
      <c r="FA58" s="507"/>
      <c r="FB58" s="507"/>
      <c r="FC58" s="507"/>
      <c r="FD58" s="507"/>
      <c r="FE58" s="507"/>
      <c r="FF58" s="507"/>
      <c r="FG58" s="507"/>
      <c r="FH58" s="507"/>
      <c r="FI58" s="507"/>
      <c r="FJ58" s="507"/>
      <c r="FK58" s="507"/>
      <c r="FL58" s="507"/>
      <c r="FM58" s="507"/>
      <c r="FN58" s="507"/>
      <c r="FO58" s="507"/>
      <c r="FP58" s="507"/>
      <c r="FQ58" s="507"/>
      <c r="FR58" s="507"/>
      <c r="FS58" s="507"/>
      <c r="FT58" s="507"/>
      <c r="FU58" s="507"/>
      <c r="FV58" s="507"/>
      <c r="FW58" s="507"/>
      <c r="FX58" s="507"/>
      <c r="FY58" s="507"/>
      <c r="FZ58" s="507"/>
      <c r="GA58" s="507"/>
      <c r="GB58" s="507"/>
      <c r="GC58" s="507"/>
      <c r="GD58" s="507"/>
      <c r="GE58" s="507"/>
      <c r="GF58" s="507"/>
      <c r="GG58" s="507"/>
      <c r="GH58" s="507"/>
      <c r="GI58" s="507"/>
      <c r="GJ58" s="507"/>
      <c r="GK58" s="507"/>
      <c r="GL58" s="507"/>
      <c r="GM58" s="507"/>
      <c r="GN58" s="507"/>
      <c r="GO58" s="507"/>
      <c r="GP58" s="507"/>
      <c r="GQ58" s="507"/>
      <c r="GR58" s="507"/>
      <c r="GS58" s="507"/>
      <c r="GT58" s="507"/>
      <c r="GU58" s="507"/>
      <c r="GV58" s="507"/>
      <c r="GW58" s="507"/>
      <c r="GX58" s="507"/>
      <c r="GY58" s="507"/>
      <c r="GZ58" s="507"/>
      <c r="HA58" s="507"/>
      <c r="HB58" s="507"/>
      <c r="HC58" s="507"/>
      <c r="HD58" s="507"/>
      <c r="HE58" s="507"/>
      <c r="HF58" s="507"/>
      <c r="HG58" s="507"/>
      <c r="HH58" s="507"/>
      <c r="HI58" s="507"/>
      <c r="HJ58" s="507"/>
      <c r="HK58" s="507"/>
      <c r="HL58" s="507"/>
      <c r="HM58" s="507"/>
      <c r="HN58" s="507"/>
      <c r="HO58" s="507"/>
      <c r="HP58" s="507"/>
      <c r="HQ58" s="507"/>
      <c r="HR58" s="507"/>
      <c r="HS58" s="507"/>
      <c r="HT58" s="507"/>
      <c r="HU58" s="507"/>
      <c r="HV58" s="507"/>
      <c r="HW58" s="507"/>
      <c r="HX58" s="507"/>
      <c r="HY58" s="507"/>
      <c r="HZ58" s="507"/>
      <c r="IA58" s="507"/>
      <c r="IB58" s="507"/>
      <c r="IC58" s="507"/>
      <c r="ID58" s="507"/>
      <c r="IE58" s="507"/>
      <c r="IF58" s="507"/>
      <c r="IG58" s="507"/>
      <c r="IH58" s="507"/>
      <c r="II58" s="507"/>
      <c r="IJ58" s="520"/>
      <c r="IK58" s="520"/>
      <c r="IL58" s="507"/>
      <c r="IM58" s="507"/>
      <c r="IN58" s="507"/>
      <c r="IO58" s="507"/>
      <c r="IP58" s="507"/>
      <c r="IQ58" s="507"/>
      <c r="IR58" s="507"/>
      <c r="IS58" s="507"/>
      <c r="IT58" s="507"/>
      <c r="IU58" s="507"/>
      <c r="IV58" s="507"/>
      <c r="IW58" s="507"/>
      <c r="IX58" s="507"/>
      <c r="IY58" s="507"/>
      <c r="IZ58" s="507"/>
      <c r="JA58" s="520"/>
      <c r="JB58" s="507"/>
      <c r="JC58" s="507"/>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5" t="s">
        <v>2526</v>
      </c>
      <c r="E59" s="1136">
        <v>2</v>
      </c>
      <c r="F59" s="1137">
        <f>'Part VI-Revenues &amp; Expenses'!$L$108</f>
        <v>0</v>
      </c>
      <c r="G59" s="1138">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9">
        <f>F59*G59</f>
        <v>0</v>
      </c>
      <c r="J59" s="43"/>
      <c r="K59" s="1137">
        <f>'Part VI-Revenues &amp; Expenses'!$L$109</f>
        <v>0</v>
      </c>
      <c r="L59" s="1138">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9">
        <f>K59*L59</f>
        <v>0</v>
      </c>
      <c r="P59" s="2102">
        <f>'Part IX A-Scoring Criteria'!O56</f>
        <v>0</v>
      </c>
      <c r="Q59" s="2103"/>
      <c r="U59" s="36"/>
      <c r="V59" s="509"/>
      <c r="W59" s="509"/>
      <c r="X59" s="512"/>
      <c r="Y59" s="509"/>
      <c r="Z59" s="521"/>
      <c r="AA59" s="522"/>
      <c r="AB59" s="522"/>
      <c r="AC59" s="522"/>
      <c r="AD59" s="522"/>
      <c r="AE59" s="522"/>
      <c r="AF59" s="522"/>
      <c r="AG59" s="875"/>
      <c r="AH59" s="507"/>
      <c r="AI59" s="507"/>
      <c r="AJ59" s="507"/>
      <c r="AK59" s="507"/>
      <c r="AL59" s="507"/>
      <c r="AM59" s="507"/>
      <c r="AN59" s="507"/>
      <c r="AO59" s="507"/>
      <c r="AP59" s="507"/>
      <c r="AQ59" s="507"/>
      <c r="AR59" s="507"/>
      <c r="AS59" s="507"/>
      <c r="AT59" s="507"/>
      <c r="AU59" s="507"/>
      <c r="AV59" s="507"/>
      <c r="AW59" s="507"/>
      <c r="AX59" s="507"/>
      <c r="AY59" s="507"/>
      <c r="AZ59" s="507"/>
      <c r="BA59" s="507"/>
      <c r="BB59" s="507"/>
      <c r="BC59" s="507"/>
      <c r="BD59" s="507"/>
      <c r="BE59" s="507"/>
      <c r="BF59" s="507"/>
      <c r="BG59" s="507"/>
      <c r="BH59" s="507"/>
      <c r="BI59" s="507"/>
      <c r="BJ59" s="507"/>
      <c r="BK59" s="507"/>
      <c r="BL59" s="507"/>
      <c r="BM59" s="507"/>
      <c r="BN59" s="507"/>
      <c r="BO59" s="507"/>
      <c r="BP59" s="507"/>
      <c r="BQ59" s="507"/>
      <c r="BR59" s="507"/>
      <c r="BS59" s="507"/>
      <c r="BT59" s="507"/>
      <c r="BU59" s="507"/>
      <c r="BV59" s="507"/>
      <c r="BW59" s="507"/>
      <c r="BX59" s="507"/>
      <c r="BY59" s="507"/>
      <c r="BZ59" s="507"/>
      <c r="CA59" s="507"/>
      <c r="CB59" s="507"/>
      <c r="CC59" s="507"/>
      <c r="CD59" s="507"/>
      <c r="CE59" s="507"/>
      <c r="CF59" s="507"/>
      <c r="CG59" s="507"/>
      <c r="CH59" s="507"/>
      <c r="CI59" s="507"/>
      <c r="CJ59" s="507"/>
      <c r="CK59" s="507"/>
      <c r="CL59" s="507"/>
      <c r="CM59" s="507"/>
      <c r="CN59" s="507"/>
      <c r="CO59" s="507"/>
      <c r="CP59" s="507"/>
      <c r="CQ59" s="507"/>
      <c r="CR59" s="507"/>
      <c r="CS59" s="507"/>
      <c r="CT59" s="507"/>
      <c r="CU59" s="507"/>
      <c r="CV59" s="507"/>
      <c r="CW59" s="507"/>
      <c r="CX59" s="507"/>
      <c r="CY59" s="507"/>
      <c r="CZ59" s="507"/>
      <c r="DA59" s="507"/>
      <c r="DB59" s="507"/>
      <c r="DC59" s="507"/>
      <c r="DD59" s="507"/>
      <c r="DE59" s="507"/>
      <c r="DF59" s="507"/>
      <c r="DG59" s="507"/>
      <c r="DH59" s="507"/>
      <c r="DI59" s="507"/>
      <c r="DJ59" s="507"/>
      <c r="DK59" s="507"/>
      <c r="DL59" s="507"/>
      <c r="DM59" s="507"/>
      <c r="DN59" s="507"/>
      <c r="DO59" s="507"/>
      <c r="DP59" s="507"/>
      <c r="DQ59" s="507"/>
      <c r="DR59" s="507"/>
      <c r="DS59" s="507"/>
      <c r="DT59" s="507"/>
      <c r="DU59" s="507"/>
      <c r="DV59" s="507"/>
      <c r="DW59" s="507"/>
      <c r="DX59" s="507"/>
      <c r="DY59" s="507"/>
      <c r="DZ59" s="507"/>
      <c r="EA59" s="507"/>
      <c r="EB59" s="507"/>
      <c r="EC59" s="507"/>
      <c r="ED59" s="507"/>
      <c r="EE59" s="507"/>
      <c r="EF59" s="507"/>
      <c r="EG59" s="507"/>
      <c r="EH59" s="507"/>
      <c r="EI59" s="507"/>
      <c r="EJ59" s="507"/>
      <c r="EK59" s="507"/>
      <c r="EL59" s="507"/>
      <c r="EM59" s="507"/>
      <c r="EN59" s="507"/>
      <c r="EO59" s="507"/>
      <c r="EP59" s="507"/>
      <c r="EQ59" s="507"/>
      <c r="ER59" s="507"/>
      <c r="ES59" s="507"/>
      <c r="ET59" s="507"/>
      <c r="EU59" s="507"/>
      <c r="EV59" s="507"/>
      <c r="EW59" s="507"/>
      <c r="EX59" s="507"/>
      <c r="EY59" s="507"/>
      <c r="EZ59" s="507"/>
      <c r="FA59" s="507"/>
      <c r="FB59" s="507"/>
      <c r="FC59" s="507"/>
      <c r="FD59" s="507"/>
      <c r="FE59" s="507"/>
      <c r="FF59" s="507"/>
      <c r="FG59" s="507"/>
      <c r="FH59" s="507"/>
      <c r="FI59" s="507"/>
      <c r="FJ59" s="507"/>
      <c r="FK59" s="507"/>
      <c r="FL59" s="507"/>
      <c r="FM59" s="507"/>
      <c r="FN59" s="507"/>
      <c r="FO59" s="507"/>
      <c r="FP59" s="507"/>
      <c r="FQ59" s="507"/>
      <c r="FR59" s="507"/>
      <c r="FS59" s="507"/>
      <c r="FT59" s="507"/>
      <c r="FU59" s="507"/>
      <c r="FV59" s="507"/>
      <c r="FW59" s="507"/>
      <c r="FX59" s="507"/>
      <c r="FY59" s="507"/>
      <c r="FZ59" s="507"/>
      <c r="GA59" s="507"/>
      <c r="GB59" s="507"/>
      <c r="GC59" s="507"/>
      <c r="GD59" s="507"/>
      <c r="GE59" s="507"/>
      <c r="GF59" s="507"/>
      <c r="GG59" s="507"/>
      <c r="GH59" s="507"/>
      <c r="GI59" s="507"/>
      <c r="GJ59" s="507"/>
      <c r="GK59" s="507"/>
      <c r="GL59" s="507"/>
      <c r="GM59" s="507"/>
      <c r="GN59" s="507"/>
      <c r="GO59" s="507"/>
      <c r="GP59" s="507"/>
      <c r="GQ59" s="507"/>
      <c r="GR59" s="507"/>
      <c r="GS59" s="507"/>
      <c r="GT59" s="507"/>
      <c r="GU59" s="507"/>
      <c r="GV59" s="507"/>
      <c r="GW59" s="507"/>
      <c r="GX59" s="507"/>
      <c r="GY59" s="507"/>
      <c r="GZ59" s="507"/>
      <c r="HA59" s="507"/>
      <c r="HB59" s="507"/>
      <c r="HC59" s="507"/>
      <c r="HD59" s="507"/>
      <c r="HE59" s="507"/>
      <c r="HF59" s="507"/>
      <c r="HG59" s="507"/>
      <c r="HH59" s="507"/>
      <c r="HI59" s="507"/>
      <c r="HJ59" s="507"/>
      <c r="HK59" s="507"/>
      <c r="HL59" s="507"/>
      <c r="HM59" s="507"/>
      <c r="HN59" s="507"/>
      <c r="HO59" s="507"/>
      <c r="HP59" s="507"/>
      <c r="HQ59" s="507"/>
      <c r="HR59" s="507"/>
      <c r="HS59" s="507"/>
      <c r="HT59" s="507"/>
      <c r="HU59" s="507"/>
      <c r="HV59" s="507"/>
      <c r="HW59" s="507"/>
      <c r="HX59" s="507"/>
      <c r="HY59" s="507"/>
      <c r="HZ59" s="507"/>
      <c r="IA59" s="507"/>
      <c r="IB59" s="507"/>
      <c r="IC59" s="507"/>
      <c r="ID59" s="507"/>
      <c r="IE59" s="507"/>
      <c r="IF59" s="507"/>
      <c r="IG59" s="507"/>
      <c r="IH59" s="507"/>
      <c r="II59" s="507"/>
      <c r="IJ59" s="520"/>
      <c r="IK59" s="520"/>
      <c r="IL59" s="507"/>
      <c r="IM59" s="507"/>
      <c r="IN59" s="507"/>
      <c r="IO59" s="507"/>
      <c r="IP59" s="507"/>
      <c r="IQ59" s="507"/>
      <c r="IR59" s="507"/>
      <c r="IS59" s="507"/>
      <c r="IT59" s="507"/>
      <c r="IU59" s="507"/>
      <c r="IV59" s="507"/>
      <c r="IW59" s="507"/>
      <c r="IX59" s="507"/>
      <c r="IY59" s="507"/>
      <c r="IZ59" s="507"/>
      <c r="JA59" s="520"/>
      <c r="JB59" s="507"/>
      <c r="JC59" s="507"/>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5" t="s">
        <v>2527</v>
      </c>
      <c r="E60" s="1136">
        <v>3</v>
      </c>
      <c r="F60" s="1137">
        <f>'Part VI-Revenues &amp; Expenses'!$M$108</f>
        <v>0</v>
      </c>
      <c r="G60" s="1138">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9">
        <f>F60*G60</f>
        <v>0</v>
      </c>
      <c r="J60" s="43"/>
      <c r="K60" s="1137">
        <f>'Part VI-Revenues &amp; Expenses'!$M$109</f>
        <v>0</v>
      </c>
      <c r="L60" s="1138">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9">
        <f>K60*L60</f>
        <v>0</v>
      </c>
      <c r="O60" s="745"/>
      <c r="U60" s="36"/>
      <c r="V60" s="509"/>
      <c r="W60" s="509"/>
      <c r="X60" s="512"/>
      <c r="Y60" s="509"/>
      <c r="Z60" s="521"/>
      <c r="AA60" s="522"/>
      <c r="AB60" s="522"/>
      <c r="AC60" s="522"/>
      <c r="AD60" s="522"/>
      <c r="AE60" s="522"/>
      <c r="AF60" s="522"/>
      <c r="AG60" s="875"/>
      <c r="AH60" s="507"/>
      <c r="AI60" s="507"/>
      <c r="AJ60" s="507"/>
      <c r="AK60" s="507"/>
      <c r="AL60" s="507"/>
      <c r="AM60" s="507"/>
      <c r="AN60" s="507"/>
      <c r="AO60" s="507"/>
      <c r="AP60" s="507"/>
      <c r="AQ60" s="507"/>
      <c r="AR60" s="507"/>
      <c r="AS60" s="507"/>
      <c r="AT60" s="507"/>
      <c r="AU60" s="507"/>
      <c r="AV60" s="507"/>
      <c r="AW60" s="507"/>
      <c r="AX60" s="507"/>
      <c r="AY60" s="507"/>
      <c r="AZ60" s="507"/>
      <c r="BA60" s="507"/>
      <c r="BB60" s="507"/>
      <c r="BC60" s="507"/>
      <c r="BD60" s="507"/>
      <c r="BE60" s="507"/>
      <c r="BF60" s="507"/>
      <c r="BG60" s="507"/>
      <c r="BH60" s="507"/>
      <c r="BI60" s="507"/>
      <c r="BJ60" s="507"/>
      <c r="BK60" s="507"/>
      <c r="BL60" s="507"/>
      <c r="BM60" s="507"/>
      <c r="BN60" s="507"/>
      <c r="BO60" s="507"/>
      <c r="BP60" s="507"/>
      <c r="BQ60" s="507"/>
      <c r="BR60" s="507"/>
      <c r="BS60" s="507"/>
      <c r="BT60" s="507"/>
      <c r="BU60" s="507"/>
      <c r="BV60" s="507"/>
      <c r="BW60" s="507"/>
      <c r="BX60" s="507"/>
      <c r="BY60" s="507"/>
      <c r="BZ60" s="507"/>
      <c r="CA60" s="507"/>
      <c r="CB60" s="507"/>
      <c r="CC60" s="507"/>
      <c r="CD60" s="507"/>
      <c r="CE60" s="507"/>
      <c r="CF60" s="507"/>
      <c r="CG60" s="507"/>
      <c r="CH60" s="507"/>
      <c r="CI60" s="507"/>
      <c r="CJ60" s="507"/>
      <c r="CK60" s="507"/>
      <c r="CL60" s="507"/>
      <c r="CM60" s="507"/>
      <c r="CN60" s="507"/>
      <c r="CO60" s="507"/>
      <c r="CP60" s="507"/>
      <c r="CQ60" s="507"/>
      <c r="CR60" s="507"/>
      <c r="CS60" s="507"/>
      <c r="CT60" s="507"/>
      <c r="CU60" s="507"/>
      <c r="CV60" s="507"/>
      <c r="CW60" s="507"/>
      <c r="CX60" s="507"/>
      <c r="CY60" s="507"/>
      <c r="CZ60" s="507"/>
      <c r="DA60" s="507"/>
      <c r="DB60" s="507"/>
      <c r="DC60" s="507"/>
      <c r="DD60" s="507"/>
      <c r="DE60" s="507"/>
      <c r="DF60" s="507"/>
      <c r="DG60" s="507"/>
      <c r="DH60" s="507"/>
      <c r="DI60" s="507"/>
      <c r="DJ60" s="507"/>
      <c r="DK60" s="507"/>
      <c r="DL60" s="507"/>
      <c r="DM60" s="507"/>
      <c r="DN60" s="507"/>
      <c r="DO60" s="507"/>
      <c r="DP60" s="507"/>
      <c r="DQ60" s="507"/>
      <c r="DR60" s="507"/>
      <c r="DS60" s="507"/>
      <c r="DT60" s="507"/>
      <c r="DU60" s="507"/>
      <c r="DV60" s="507"/>
      <c r="DW60" s="507"/>
      <c r="DX60" s="507"/>
      <c r="DY60" s="507"/>
      <c r="DZ60" s="507"/>
      <c r="EA60" s="507"/>
      <c r="EB60" s="507"/>
      <c r="EC60" s="507"/>
      <c r="ED60" s="507"/>
      <c r="EE60" s="507"/>
      <c r="EF60" s="507"/>
      <c r="EG60" s="507"/>
      <c r="EH60" s="507"/>
      <c r="EI60" s="507"/>
      <c r="EJ60" s="507"/>
      <c r="EK60" s="507"/>
      <c r="EL60" s="507"/>
      <c r="EM60" s="507"/>
      <c r="EN60" s="507"/>
      <c r="EO60" s="507"/>
      <c r="EP60" s="507"/>
      <c r="EQ60" s="507"/>
      <c r="ER60" s="507"/>
      <c r="ES60" s="507"/>
      <c r="ET60" s="507"/>
      <c r="EU60" s="507"/>
      <c r="EV60" s="507"/>
      <c r="EW60" s="507"/>
      <c r="EX60" s="507"/>
      <c r="EY60" s="507"/>
      <c r="EZ60" s="507"/>
      <c r="FA60" s="507"/>
      <c r="FB60" s="507"/>
      <c r="FC60" s="507"/>
      <c r="FD60" s="507"/>
      <c r="FE60" s="507"/>
      <c r="FF60" s="507"/>
      <c r="FG60" s="507"/>
      <c r="FH60" s="507"/>
      <c r="FI60" s="507"/>
      <c r="FJ60" s="507"/>
      <c r="FK60" s="507"/>
      <c r="FL60" s="507"/>
      <c r="FM60" s="507"/>
      <c r="FN60" s="507"/>
      <c r="FO60" s="507"/>
      <c r="FP60" s="507"/>
      <c r="FQ60" s="507"/>
      <c r="FR60" s="507"/>
      <c r="FS60" s="507"/>
      <c r="FT60" s="507"/>
      <c r="FU60" s="507"/>
      <c r="FV60" s="507"/>
      <c r="FW60" s="507"/>
      <c r="FX60" s="507"/>
      <c r="FY60" s="507"/>
      <c r="FZ60" s="507"/>
      <c r="GA60" s="507"/>
      <c r="GB60" s="507"/>
      <c r="GC60" s="507"/>
      <c r="GD60" s="507"/>
      <c r="GE60" s="507"/>
      <c r="GF60" s="507"/>
      <c r="GG60" s="507"/>
      <c r="GH60" s="507"/>
      <c r="GI60" s="507"/>
      <c r="GJ60" s="507"/>
      <c r="GK60" s="507"/>
      <c r="GL60" s="507"/>
      <c r="GM60" s="507"/>
      <c r="GN60" s="507"/>
      <c r="GO60" s="507"/>
      <c r="GP60" s="507"/>
      <c r="GQ60" s="507"/>
      <c r="GR60" s="507"/>
      <c r="GS60" s="507"/>
      <c r="GT60" s="507"/>
      <c r="GU60" s="507"/>
      <c r="GV60" s="507"/>
      <c r="GW60" s="507"/>
      <c r="GX60" s="507"/>
      <c r="GY60" s="507"/>
      <c r="GZ60" s="507"/>
      <c r="HA60" s="507"/>
      <c r="HB60" s="507"/>
      <c r="HC60" s="507"/>
      <c r="HD60" s="507"/>
      <c r="HE60" s="507"/>
      <c r="HF60" s="507"/>
      <c r="HG60" s="507"/>
      <c r="HH60" s="507"/>
      <c r="HI60" s="507"/>
      <c r="HJ60" s="507"/>
      <c r="HK60" s="507"/>
      <c r="HL60" s="507"/>
      <c r="HM60" s="507"/>
      <c r="HN60" s="507"/>
      <c r="HO60" s="507"/>
      <c r="HP60" s="507"/>
      <c r="HQ60" s="507"/>
      <c r="HR60" s="507"/>
      <c r="HS60" s="507"/>
      <c r="HT60" s="507"/>
      <c r="HU60" s="507"/>
      <c r="HV60" s="507"/>
      <c r="HW60" s="507"/>
      <c r="HX60" s="507"/>
      <c r="HY60" s="507"/>
      <c r="HZ60" s="507"/>
      <c r="IA60" s="507"/>
      <c r="IB60" s="507"/>
      <c r="IC60" s="507"/>
      <c r="ID60" s="507"/>
      <c r="IE60" s="507"/>
      <c r="IF60" s="507"/>
      <c r="IG60" s="507"/>
      <c r="IH60" s="507"/>
      <c r="II60" s="507"/>
      <c r="IJ60" s="520"/>
      <c r="IK60" s="520"/>
      <c r="IL60" s="507"/>
      <c r="IM60" s="507"/>
      <c r="IN60" s="507"/>
      <c r="IO60" s="507"/>
      <c r="IP60" s="507"/>
      <c r="IQ60" s="507"/>
      <c r="IR60" s="507"/>
      <c r="IS60" s="507"/>
      <c r="IT60" s="507"/>
      <c r="IU60" s="507"/>
      <c r="IV60" s="507"/>
      <c r="IW60" s="507"/>
      <c r="IX60" s="507"/>
      <c r="IY60" s="507"/>
      <c r="IZ60" s="507"/>
      <c r="JA60" s="520"/>
      <c r="JB60" s="507"/>
      <c r="JC60" s="507"/>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0" t="s">
        <v>2528</v>
      </c>
      <c r="E61" s="1136">
        <v>4</v>
      </c>
      <c r="F61" s="1137">
        <f>'Part VI-Revenues &amp; Expenses'!$N$108</f>
        <v>0</v>
      </c>
      <c r="G61" s="1138">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9">
        <f>F61*G61</f>
        <v>0</v>
      </c>
      <c r="J61" s="43"/>
      <c r="K61" s="1137">
        <f>'Part VI-Revenues &amp; Expenses'!$N$109</f>
        <v>0</v>
      </c>
      <c r="L61" s="1138">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9">
        <f>K61*L61</f>
        <v>0</v>
      </c>
      <c r="O61" s="745"/>
      <c r="P61" s="2115" t="s">
        <v>2888</v>
      </c>
      <c r="Q61" s="2115"/>
      <c r="U61" s="36"/>
      <c r="V61" s="509"/>
      <c r="W61" s="509"/>
      <c r="X61" s="512"/>
      <c r="Y61" s="509"/>
      <c r="Z61" s="521"/>
      <c r="AA61" s="522"/>
      <c r="AB61" s="522"/>
      <c r="AC61" s="522"/>
      <c r="AD61" s="522"/>
      <c r="AE61" s="522"/>
      <c r="AF61" s="522"/>
      <c r="AG61" s="875"/>
      <c r="AH61" s="507"/>
      <c r="AI61" s="507"/>
      <c r="AJ61" s="507"/>
      <c r="AK61" s="507"/>
      <c r="AL61" s="507"/>
      <c r="AM61" s="507"/>
      <c r="AN61" s="507"/>
      <c r="AO61" s="507"/>
      <c r="AP61" s="507"/>
      <c r="AQ61" s="507"/>
      <c r="AR61" s="507"/>
      <c r="AS61" s="507"/>
      <c r="AT61" s="507"/>
      <c r="AU61" s="507"/>
      <c r="AV61" s="507"/>
      <c r="AW61" s="507"/>
      <c r="AX61" s="507"/>
      <c r="AY61" s="507"/>
      <c r="AZ61" s="507"/>
      <c r="BA61" s="507"/>
      <c r="BB61" s="507"/>
      <c r="BC61" s="507"/>
      <c r="BD61" s="507"/>
      <c r="BE61" s="507"/>
      <c r="BF61" s="507"/>
      <c r="BG61" s="507"/>
      <c r="BH61" s="507"/>
      <c r="BI61" s="507"/>
      <c r="BJ61" s="507"/>
      <c r="BK61" s="507"/>
      <c r="BL61" s="507"/>
      <c r="BM61" s="507"/>
      <c r="BN61" s="507"/>
      <c r="BO61" s="507"/>
      <c r="BP61" s="507"/>
      <c r="BQ61" s="507"/>
      <c r="BR61" s="507"/>
      <c r="BS61" s="507"/>
      <c r="BT61" s="507"/>
      <c r="BU61" s="507"/>
      <c r="BV61" s="507"/>
      <c r="BW61" s="507"/>
      <c r="BX61" s="507"/>
      <c r="BY61" s="507"/>
      <c r="BZ61" s="507"/>
      <c r="CA61" s="507"/>
      <c r="CB61" s="507"/>
      <c r="CC61" s="507"/>
      <c r="CD61" s="507"/>
      <c r="CE61" s="507"/>
      <c r="CF61" s="507"/>
      <c r="CG61" s="507"/>
      <c r="CH61" s="507"/>
      <c r="CI61" s="507"/>
      <c r="CJ61" s="507"/>
      <c r="CK61" s="507"/>
      <c r="CL61" s="507"/>
      <c r="CM61" s="507"/>
      <c r="CN61" s="507"/>
      <c r="CO61" s="507"/>
      <c r="CP61" s="507"/>
      <c r="CQ61" s="507"/>
      <c r="CR61" s="507"/>
      <c r="CS61" s="507"/>
      <c r="CT61" s="507"/>
      <c r="CU61" s="507"/>
      <c r="CV61" s="507"/>
      <c r="CW61" s="507"/>
      <c r="CX61" s="507"/>
      <c r="CY61" s="507"/>
      <c r="CZ61" s="507"/>
      <c r="DA61" s="507"/>
      <c r="DB61" s="507"/>
      <c r="DC61" s="507"/>
      <c r="DD61" s="507"/>
      <c r="DE61" s="507"/>
      <c r="DF61" s="507"/>
      <c r="DG61" s="507"/>
      <c r="DH61" s="507"/>
      <c r="DI61" s="507"/>
      <c r="DJ61" s="507"/>
      <c r="DK61" s="507"/>
      <c r="DL61" s="507"/>
      <c r="DM61" s="507"/>
      <c r="DN61" s="507"/>
      <c r="DO61" s="507"/>
      <c r="DP61" s="507"/>
      <c r="DQ61" s="507"/>
      <c r="DR61" s="507"/>
      <c r="DS61" s="507"/>
      <c r="DT61" s="507"/>
      <c r="DU61" s="507"/>
      <c r="DV61" s="507"/>
      <c r="DW61" s="507"/>
      <c r="DX61" s="507"/>
      <c r="DY61" s="507"/>
      <c r="DZ61" s="507"/>
      <c r="EA61" s="507"/>
      <c r="EB61" s="507"/>
      <c r="EC61" s="507"/>
      <c r="ED61" s="507"/>
      <c r="EE61" s="507"/>
      <c r="EF61" s="507"/>
      <c r="EG61" s="507"/>
      <c r="EH61" s="507"/>
      <c r="EI61" s="507"/>
      <c r="EJ61" s="507"/>
      <c r="EK61" s="507"/>
      <c r="EL61" s="507"/>
      <c r="EM61" s="507"/>
      <c r="EN61" s="507"/>
      <c r="EO61" s="507"/>
      <c r="EP61" s="507"/>
      <c r="EQ61" s="507"/>
      <c r="ER61" s="507"/>
      <c r="ES61" s="507"/>
      <c r="ET61" s="507"/>
      <c r="EU61" s="507"/>
      <c r="EV61" s="507"/>
      <c r="EW61" s="507"/>
      <c r="EX61" s="507"/>
      <c r="EY61" s="507"/>
      <c r="EZ61" s="507"/>
      <c r="FA61" s="507"/>
      <c r="FB61" s="507"/>
      <c r="FC61" s="507"/>
      <c r="FD61" s="507"/>
      <c r="FE61" s="507"/>
      <c r="FF61" s="507"/>
      <c r="FG61" s="507"/>
      <c r="FH61" s="507"/>
      <c r="FI61" s="507"/>
      <c r="FJ61" s="507"/>
      <c r="FK61" s="507"/>
      <c r="FL61" s="507"/>
      <c r="FM61" s="507"/>
      <c r="FN61" s="507"/>
      <c r="FO61" s="507"/>
      <c r="FP61" s="507"/>
      <c r="FQ61" s="507"/>
      <c r="FR61" s="507"/>
      <c r="FS61" s="507"/>
      <c r="FT61" s="507"/>
      <c r="FU61" s="507"/>
      <c r="FV61" s="507"/>
      <c r="FW61" s="507"/>
      <c r="FX61" s="507"/>
      <c r="FY61" s="507"/>
      <c r="FZ61" s="507"/>
      <c r="GA61" s="507"/>
      <c r="GB61" s="507"/>
      <c r="GC61" s="507"/>
      <c r="GD61" s="507"/>
      <c r="GE61" s="507"/>
      <c r="GF61" s="507"/>
      <c r="GG61" s="507"/>
      <c r="GH61" s="507"/>
      <c r="GI61" s="507"/>
      <c r="GJ61" s="507"/>
      <c r="GK61" s="507"/>
      <c r="GL61" s="507"/>
      <c r="GM61" s="507"/>
      <c r="GN61" s="507"/>
      <c r="GO61" s="507"/>
      <c r="GP61" s="507"/>
      <c r="GQ61" s="507"/>
      <c r="GR61" s="507"/>
      <c r="GS61" s="507"/>
      <c r="GT61" s="507"/>
      <c r="GU61" s="507"/>
      <c r="GV61" s="507"/>
      <c r="GW61" s="507"/>
      <c r="GX61" s="507"/>
      <c r="GY61" s="507"/>
      <c r="GZ61" s="507"/>
      <c r="HA61" s="507"/>
      <c r="HB61" s="507"/>
      <c r="HC61" s="507"/>
      <c r="HD61" s="507"/>
      <c r="HE61" s="507"/>
      <c r="HF61" s="507"/>
      <c r="HG61" s="507"/>
      <c r="HH61" s="507"/>
      <c r="HI61" s="507"/>
      <c r="HJ61" s="507"/>
      <c r="HK61" s="507"/>
      <c r="HL61" s="507"/>
      <c r="HM61" s="507"/>
      <c r="HN61" s="507"/>
      <c r="HO61" s="507"/>
      <c r="HP61" s="507"/>
      <c r="HQ61" s="507"/>
      <c r="HR61" s="507"/>
      <c r="HS61" s="507"/>
      <c r="HT61" s="507"/>
      <c r="HU61" s="507"/>
      <c r="HV61" s="507"/>
      <c r="HW61" s="507"/>
      <c r="HX61" s="507"/>
      <c r="HY61" s="507"/>
      <c r="HZ61" s="507"/>
      <c r="IA61" s="507"/>
      <c r="IB61" s="507"/>
      <c r="IC61" s="507"/>
      <c r="ID61" s="507"/>
      <c r="IE61" s="507"/>
      <c r="IF61" s="507"/>
      <c r="IG61" s="507"/>
      <c r="IH61" s="507"/>
      <c r="II61" s="507"/>
      <c r="IJ61" s="520"/>
      <c r="IK61" s="520"/>
      <c r="IL61" s="507"/>
      <c r="IM61" s="507"/>
      <c r="IN61" s="507"/>
      <c r="IO61" s="507"/>
      <c r="IP61" s="507"/>
      <c r="IQ61" s="507"/>
      <c r="IR61" s="507"/>
      <c r="IS61" s="507"/>
      <c r="IT61" s="507"/>
      <c r="IU61" s="507"/>
      <c r="IV61" s="507"/>
      <c r="IW61" s="507"/>
      <c r="IX61" s="507"/>
      <c r="IY61" s="507"/>
      <c r="IZ61" s="507"/>
      <c r="JA61" s="520"/>
      <c r="JB61" s="507"/>
      <c r="JC61" s="507"/>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3" t="s">
        <v>3557</v>
      </c>
      <c r="E62" s="36"/>
      <c r="F62" s="812">
        <f>SUM(F57:F61)</f>
        <v>0</v>
      </c>
      <c r="G62" s="832"/>
      <c r="H62" s="813"/>
      <c r="I62" s="814">
        <f>SUM(I57:I61)</f>
        <v>0</v>
      </c>
      <c r="J62" s="815"/>
      <c r="K62" s="812">
        <f>SUM(K57:K61)</f>
        <v>0</v>
      </c>
      <c r="L62" s="815"/>
      <c r="M62" s="813"/>
      <c r="N62" s="814">
        <f>SUM(N57:N61)</f>
        <v>0</v>
      </c>
      <c r="O62" s="745"/>
      <c r="P62" s="2115"/>
      <c r="Q62" s="2115"/>
      <c r="U62" s="36"/>
      <c r="V62" s="509"/>
      <c r="W62" s="509"/>
      <c r="X62" s="512"/>
      <c r="Y62" s="509"/>
      <c r="Z62" s="521"/>
      <c r="AA62" s="522"/>
      <c r="AB62" s="522"/>
      <c r="AC62" s="522"/>
      <c r="AD62" s="522"/>
      <c r="AE62" s="522"/>
      <c r="AF62" s="522"/>
      <c r="AG62" s="875"/>
      <c r="AH62" s="507"/>
      <c r="AI62" s="507"/>
      <c r="AJ62" s="507"/>
      <c r="AK62" s="507"/>
      <c r="AL62" s="507"/>
      <c r="AM62" s="507"/>
      <c r="AN62" s="507"/>
      <c r="AO62" s="507"/>
      <c r="AP62" s="507"/>
      <c r="AQ62" s="507"/>
      <c r="AR62" s="507"/>
      <c r="AS62" s="507"/>
      <c r="AT62" s="507"/>
      <c r="AU62" s="507"/>
      <c r="AV62" s="507"/>
      <c r="AW62" s="507"/>
      <c r="AX62" s="507"/>
      <c r="AY62" s="507"/>
      <c r="AZ62" s="507"/>
      <c r="BA62" s="507"/>
      <c r="BB62" s="507"/>
      <c r="BC62" s="507"/>
      <c r="BD62" s="507"/>
      <c r="BE62" s="507"/>
      <c r="BF62" s="507"/>
      <c r="BG62" s="507"/>
      <c r="BH62" s="507"/>
      <c r="BI62" s="507"/>
      <c r="BJ62" s="507"/>
      <c r="BK62" s="507"/>
      <c r="BL62" s="507"/>
      <c r="BM62" s="507"/>
      <c r="BN62" s="507"/>
      <c r="BO62" s="507"/>
      <c r="BP62" s="507"/>
      <c r="BQ62" s="507"/>
      <c r="BR62" s="507"/>
      <c r="BS62" s="507"/>
      <c r="BT62" s="507"/>
      <c r="BU62" s="507"/>
      <c r="BV62" s="507"/>
      <c r="BW62" s="507"/>
      <c r="BX62" s="507"/>
      <c r="BY62" s="507"/>
      <c r="BZ62" s="507"/>
      <c r="CA62" s="507"/>
      <c r="CB62" s="507"/>
      <c r="CC62" s="507"/>
      <c r="CD62" s="507"/>
      <c r="CE62" s="507"/>
      <c r="CF62" s="507"/>
      <c r="CG62" s="507"/>
      <c r="CH62" s="507"/>
      <c r="CI62" s="507"/>
      <c r="CJ62" s="507"/>
      <c r="CK62" s="507"/>
      <c r="CL62" s="507"/>
      <c r="CM62" s="507"/>
      <c r="CN62" s="507"/>
      <c r="CO62" s="507"/>
      <c r="CP62" s="507"/>
      <c r="CQ62" s="507"/>
      <c r="CR62" s="507"/>
      <c r="CS62" s="507"/>
      <c r="CT62" s="507"/>
      <c r="CU62" s="507"/>
      <c r="CV62" s="507"/>
      <c r="CW62" s="507"/>
      <c r="CX62" s="507"/>
      <c r="CY62" s="507"/>
      <c r="CZ62" s="507"/>
      <c r="DA62" s="507"/>
      <c r="DB62" s="507"/>
      <c r="DC62" s="507"/>
      <c r="DD62" s="507"/>
      <c r="DE62" s="507"/>
      <c r="DF62" s="507"/>
      <c r="DG62" s="507"/>
      <c r="DH62" s="507"/>
      <c r="DI62" s="507"/>
      <c r="DJ62" s="507"/>
      <c r="DK62" s="507"/>
      <c r="DL62" s="507"/>
      <c r="DM62" s="507"/>
      <c r="DN62" s="507"/>
      <c r="DO62" s="507"/>
      <c r="DP62" s="507"/>
      <c r="DQ62" s="507"/>
      <c r="DR62" s="507"/>
      <c r="DS62" s="507"/>
      <c r="DT62" s="507"/>
      <c r="DU62" s="507"/>
      <c r="DV62" s="507"/>
      <c r="DW62" s="507"/>
      <c r="DX62" s="507"/>
      <c r="DY62" s="507"/>
      <c r="DZ62" s="507"/>
      <c r="EA62" s="507"/>
      <c r="EB62" s="507"/>
      <c r="EC62" s="507"/>
      <c r="ED62" s="507"/>
      <c r="EE62" s="507"/>
      <c r="EF62" s="507"/>
      <c r="EG62" s="507"/>
      <c r="EH62" s="507"/>
      <c r="EI62" s="507"/>
      <c r="EJ62" s="507"/>
      <c r="EK62" s="507"/>
      <c r="EL62" s="507"/>
      <c r="EM62" s="507"/>
      <c r="EN62" s="507"/>
      <c r="EO62" s="507"/>
      <c r="EP62" s="507"/>
      <c r="EQ62" s="507"/>
      <c r="ER62" s="507"/>
      <c r="ES62" s="507"/>
      <c r="ET62" s="507"/>
      <c r="EU62" s="507"/>
      <c r="EV62" s="507"/>
      <c r="EW62" s="507"/>
      <c r="EX62" s="507"/>
      <c r="EY62" s="507"/>
      <c r="EZ62" s="507"/>
      <c r="FA62" s="507"/>
      <c r="FB62" s="507"/>
      <c r="FC62" s="507"/>
      <c r="FD62" s="507"/>
      <c r="FE62" s="507"/>
      <c r="FF62" s="507"/>
      <c r="FG62" s="507"/>
      <c r="FH62" s="507"/>
      <c r="FI62" s="507"/>
      <c r="FJ62" s="507"/>
      <c r="FK62" s="507"/>
      <c r="FL62" s="507"/>
      <c r="FM62" s="507"/>
      <c r="FN62" s="507"/>
      <c r="FO62" s="507"/>
      <c r="FP62" s="507"/>
      <c r="FQ62" s="507"/>
      <c r="FR62" s="507"/>
      <c r="FS62" s="507"/>
      <c r="FT62" s="507"/>
      <c r="FU62" s="507"/>
      <c r="FV62" s="507"/>
      <c r="FW62" s="507"/>
      <c r="FX62" s="507"/>
      <c r="FY62" s="507"/>
      <c r="FZ62" s="507"/>
      <c r="GA62" s="507"/>
      <c r="GB62" s="507"/>
      <c r="GC62" s="507"/>
      <c r="GD62" s="507"/>
      <c r="GE62" s="507"/>
      <c r="GF62" s="507"/>
      <c r="GG62" s="507"/>
      <c r="GH62" s="507"/>
      <c r="GI62" s="507"/>
      <c r="GJ62" s="507"/>
      <c r="GK62" s="507"/>
      <c r="GL62" s="507"/>
      <c r="GM62" s="507"/>
      <c r="GN62" s="507"/>
      <c r="GO62" s="507"/>
      <c r="GP62" s="507"/>
      <c r="GQ62" s="507"/>
      <c r="GR62" s="507"/>
      <c r="GS62" s="507"/>
      <c r="GT62" s="507"/>
      <c r="GU62" s="507"/>
      <c r="GV62" s="507"/>
      <c r="GW62" s="507"/>
      <c r="GX62" s="507"/>
      <c r="GY62" s="507"/>
      <c r="GZ62" s="507"/>
      <c r="HA62" s="507"/>
      <c r="HB62" s="507"/>
      <c r="HC62" s="507"/>
      <c r="HD62" s="507"/>
      <c r="HE62" s="507"/>
      <c r="HF62" s="507"/>
      <c r="HG62" s="507"/>
      <c r="HH62" s="507"/>
      <c r="HI62" s="507"/>
      <c r="HJ62" s="507"/>
      <c r="HK62" s="507"/>
      <c r="HL62" s="507"/>
      <c r="HM62" s="507"/>
      <c r="HN62" s="507"/>
      <c r="HO62" s="507"/>
      <c r="HP62" s="507"/>
      <c r="HQ62" s="507"/>
      <c r="HR62" s="507"/>
      <c r="HS62" s="507"/>
      <c r="HT62" s="507"/>
      <c r="HU62" s="507"/>
      <c r="HV62" s="507"/>
      <c r="HW62" s="507"/>
      <c r="HX62" s="507"/>
      <c r="HY62" s="507"/>
      <c r="HZ62" s="507"/>
      <c r="IA62" s="507"/>
      <c r="IB62" s="507"/>
      <c r="IC62" s="507"/>
      <c r="ID62" s="507"/>
      <c r="IE62" s="507"/>
      <c r="IF62" s="507"/>
      <c r="IG62" s="507"/>
      <c r="IH62" s="507"/>
      <c r="II62" s="507"/>
      <c r="IJ62" s="520"/>
      <c r="IK62" s="520"/>
      <c r="IL62" s="507"/>
      <c r="IM62" s="507"/>
      <c r="IN62" s="507"/>
      <c r="IO62" s="507"/>
      <c r="IP62" s="507"/>
      <c r="IQ62" s="507"/>
      <c r="IR62" s="507"/>
      <c r="IS62" s="507"/>
      <c r="IT62" s="507"/>
      <c r="IU62" s="507"/>
      <c r="IV62" s="507"/>
      <c r="IW62" s="507"/>
      <c r="IX62" s="507"/>
      <c r="IY62" s="507"/>
      <c r="IZ62" s="507"/>
      <c r="JA62" s="520"/>
      <c r="JB62" s="507"/>
      <c r="JC62" s="507"/>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1"/>
      <c r="E63" s="651"/>
      <c r="F63" s="833"/>
      <c r="G63" s="150"/>
      <c r="H63" s="36"/>
      <c r="I63" s="1144"/>
      <c r="J63" s="36"/>
      <c r="K63" s="833"/>
      <c r="L63" s="36"/>
      <c r="M63" s="1814"/>
      <c r="N63" s="1144"/>
      <c r="O63" s="745"/>
      <c r="P63" s="2115"/>
      <c r="Q63" s="2115"/>
      <c r="R63" s="457"/>
      <c r="U63" s="36"/>
      <c r="V63" s="509"/>
      <c r="W63" s="509"/>
      <c r="X63" s="512"/>
      <c r="Y63" s="509"/>
      <c r="Z63" s="521"/>
      <c r="AA63" s="522"/>
      <c r="AB63" s="522"/>
      <c r="AC63" s="522"/>
      <c r="AD63" s="522"/>
      <c r="AE63" s="522"/>
      <c r="AF63" s="522"/>
      <c r="AG63" s="875"/>
      <c r="AH63" s="507"/>
      <c r="AI63" s="507"/>
      <c r="AJ63" s="507"/>
      <c r="AK63" s="507"/>
      <c r="AL63" s="507"/>
      <c r="AM63" s="507"/>
      <c r="AN63" s="507"/>
      <c r="AO63" s="507"/>
      <c r="AP63" s="507"/>
      <c r="AQ63" s="507"/>
      <c r="AR63" s="507"/>
      <c r="AS63" s="507"/>
      <c r="AT63" s="507"/>
      <c r="AU63" s="507"/>
      <c r="AV63" s="507"/>
      <c r="AW63" s="507"/>
      <c r="AX63" s="507"/>
      <c r="AY63" s="507"/>
      <c r="AZ63" s="507"/>
      <c r="BA63" s="507"/>
      <c r="BB63" s="507"/>
      <c r="BC63" s="507"/>
      <c r="BD63" s="507"/>
      <c r="BE63" s="507"/>
      <c r="BF63" s="507"/>
      <c r="BG63" s="507"/>
      <c r="BH63" s="507"/>
      <c r="BI63" s="507"/>
      <c r="BJ63" s="507"/>
      <c r="BK63" s="507"/>
      <c r="BL63" s="507"/>
      <c r="BM63" s="507"/>
      <c r="BN63" s="507"/>
      <c r="BO63" s="507"/>
      <c r="BP63" s="507"/>
      <c r="BQ63" s="507"/>
      <c r="BR63" s="507"/>
      <c r="BS63" s="507"/>
      <c r="BT63" s="507"/>
      <c r="BU63" s="507"/>
      <c r="BV63" s="507"/>
      <c r="BW63" s="507"/>
      <c r="BX63" s="507"/>
      <c r="BY63" s="507"/>
      <c r="BZ63" s="507"/>
      <c r="CA63" s="507"/>
      <c r="CB63" s="507"/>
      <c r="CC63" s="507"/>
      <c r="CD63" s="507"/>
      <c r="CE63" s="507"/>
      <c r="CF63" s="507"/>
      <c r="CG63" s="507"/>
      <c r="CH63" s="507"/>
      <c r="CI63" s="507"/>
      <c r="CJ63" s="507"/>
      <c r="CK63" s="507"/>
      <c r="CL63" s="507"/>
      <c r="CM63" s="507"/>
      <c r="CN63" s="507"/>
      <c r="CO63" s="507"/>
      <c r="CP63" s="507"/>
      <c r="CQ63" s="507"/>
      <c r="CR63" s="507"/>
      <c r="CS63" s="507"/>
      <c r="CT63" s="507"/>
      <c r="CU63" s="507"/>
      <c r="CV63" s="507"/>
      <c r="CW63" s="507"/>
      <c r="CX63" s="507"/>
      <c r="CY63" s="507"/>
      <c r="CZ63" s="507"/>
      <c r="DA63" s="507"/>
      <c r="DB63" s="507"/>
      <c r="DC63" s="507"/>
      <c r="DD63" s="507"/>
      <c r="DE63" s="507"/>
      <c r="DF63" s="507"/>
      <c r="DG63" s="507"/>
      <c r="DH63" s="507"/>
      <c r="DI63" s="507"/>
      <c r="DJ63" s="507"/>
      <c r="DK63" s="507"/>
      <c r="DL63" s="507"/>
      <c r="DM63" s="507"/>
      <c r="DN63" s="507"/>
      <c r="DO63" s="507"/>
      <c r="DP63" s="507"/>
      <c r="DQ63" s="507"/>
      <c r="DR63" s="507"/>
      <c r="DS63" s="507"/>
      <c r="DT63" s="507"/>
      <c r="DU63" s="507"/>
      <c r="DV63" s="507"/>
      <c r="DW63" s="507"/>
      <c r="DX63" s="507"/>
      <c r="DY63" s="507"/>
      <c r="DZ63" s="507"/>
      <c r="EA63" s="507"/>
      <c r="EB63" s="507"/>
      <c r="EC63" s="507"/>
      <c r="ED63" s="507"/>
      <c r="EE63" s="507"/>
      <c r="EF63" s="507"/>
      <c r="EG63" s="507"/>
      <c r="EH63" s="507"/>
      <c r="EI63" s="507"/>
      <c r="EJ63" s="507"/>
      <c r="EK63" s="507"/>
      <c r="EL63" s="507"/>
      <c r="EM63" s="507"/>
      <c r="EN63" s="507"/>
      <c r="EO63" s="507"/>
      <c r="EP63" s="507"/>
      <c r="EQ63" s="507"/>
      <c r="ER63" s="507"/>
      <c r="ES63" s="507"/>
      <c r="ET63" s="507"/>
      <c r="EU63" s="507"/>
      <c r="EV63" s="507"/>
      <c r="EW63" s="507"/>
      <c r="EX63" s="507"/>
      <c r="EY63" s="507"/>
      <c r="EZ63" s="507"/>
      <c r="FA63" s="507"/>
      <c r="FB63" s="507"/>
      <c r="FC63" s="507"/>
      <c r="FD63" s="507"/>
      <c r="FE63" s="507"/>
      <c r="FF63" s="507"/>
      <c r="FG63" s="507"/>
      <c r="FH63" s="507"/>
      <c r="FI63" s="507"/>
      <c r="FJ63" s="507"/>
      <c r="FK63" s="507"/>
      <c r="FL63" s="507"/>
      <c r="FM63" s="507"/>
      <c r="FN63" s="507"/>
      <c r="FO63" s="507"/>
      <c r="FP63" s="507"/>
      <c r="FQ63" s="507"/>
      <c r="FR63" s="507"/>
      <c r="FS63" s="507"/>
      <c r="FT63" s="507"/>
      <c r="FU63" s="507"/>
      <c r="FV63" s="507"/>
      <c r="FW63" s="507"/>
      <c r="FX63" s="507"/>
      <c r="FY63" s="507"/>
      <c r="FZ63" s="507"/>
      <c r="GA63" s="507"/>
      <c r="GB63" s="507"/>
      <c r="GC63" s="507"/>
      <c r="GD63" s="507"/>
      <c r="GE63" s="507"/>
      <c r="GF63" s="507"/>
      <c r="GG63" s="507"/>
      <c r="GH63" s="507"/>
      <c r="GI63" s="507"/>
      <c r="GJ63" s="507"/>
      <c r="GK63" s="507"/>
      <c r="GL63" s="507"/>
      <c r="GM63" s="507"/>
      <c r="GN63" s="507"/>
      <c r="GO63" s="507"/>
      <c r="GP63" s="507"/>
      <c r="GQ63" s="507"/>
      <c r="GR63" s="507"/>
      <c r="GS63" s="507"/>
      <c r="GT63" s="507"/>
      <c r="GU63" s="507"/>
      <c r="GV63" s="507"/>
      <c r="GW63" s="507"/>
      <c r="GX63" s="507"/>
      <c r="GY63" s="507"/>
      <c r="GZ63" s="507"/>
      <c r="HA63" s="507"/>
      <c r="HB63" s="507"/>
      <c r="HC63" s="507"/>
      <c r="HD63" s="507"/>
      <c r="HE63" s="507"/>
      <c r="HF63" s="507"/>
      <c r="HG63" s="507"/>
      <c r="HH63" s="507"/>
      <c r="HI63" s="507"/>
      <c r="HJ63" s="507"/>
      <c r="HK63" s="507"/>
      <c r="HL63" s="507"/>
      <c r="HM63" s="507"/>
      <c r="HN63" s="507"/>
      <c r="HO63" s="507"/>
      <c r="HP63" s="507"/>
      <c r="HQ63" s="507"/>
      <c r="HR63" s="507"/>
      <c r="HS63" s="507"/>
      <c r="HT63" s="507"/>
      <c r="HU63" s="507"/>
      <c r="HV63" s="507"/>
      <c r="HW63" s="507"/>
      <c r="HX63" s="507"/>
      <c r="HY63" s="507"/>
      <c r="HZ63" s="507"/>
      <c r="IA63" s="507"/>
      <c r="IB63" s="507"/>
      <c r="IC63" s="507"/>
      <c r="ID63" s="507"/>
      <c r="IE63" s="507"/>
      <c r="IF63" s="507"/>
      <c r="IG63" s="507"/>
      <c r="IH63" s="507"/>
      <c r="II63" s="507"/>
      <c r="IJ63" s="520"/>
      <c r="IK63" s="520"/>
      <c r="IL63" s="507"/>
      <c r="IM63" s="507"/>
      <c r="IN63" s="507"/>
      <c r="IO63" s="507"/>
      <c r="IP63" s="507"/>
      <c r="IQ63" s="507"/>
      <c r="IR63" s="507"/>
      <c r="IS63" s="507"/>
      <c r="IT63" s="507"/>
      <c r="IU63" s="507"/>
      <c r="IV63" s="507"/>
      <c r="IW63" s="507"/>
      <c r="IX63" s="507"/>
      <c r="IY63" s="507"/>
      <c r="IZ63" s="507"/>
      <c r="JA63" s="520"/>
      <c r="JB63" s="507"/>
      <c r="JC63" s="507"/>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2" t="s">
        <v>3543</v>
      </c>
      <c r="B64" s="8"/>
      <c r="C64" s="1"/>
      <c r="D64" s="1135" t="s">
        <v>587</v>
      </c>
      <c r="E64" s="1136">
        <v>0</v>
      </c>
      <c r="F64" s="1137">
        <f>'Part VI-Revenues &amp; Expenses'!$J$110</f>
        <v>3</v>
      </c>
      <c r="G64" s="1138">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3 units = </v>
      </c>
      <c r="I64" s="1139">
        <f>F64*G64</f>
        <v>333843</v>
      </c>
      <c r="J64" s="43"/>
      <c r="K64" s="1137">
        <f>'Part VI-Revenues &amp; Expenses'!$J$111</f>
        <v>0</v>
      </c>
      <c r="L64" s="1138">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9">
        <f>K64*L64</f>
        <v>0</v>
      </c>
      <c r="O64" s="745"/>
      <c r="P64" s="2116"/>
      <c r="Q64" s="2116"/>
      <c r="R64" s="457"/>
      <c r="U64" s="36"/>
      <c r="V64" s="509"/>
      <c r="W64" s="509"/>
      <c r="X64" s="512"/>
      <c r="Y64" s="509"/>
      <c r="Z64" s="521"/>
      <c r="AA64" s="522"/>
      <c r="AB64" s="522"/>
      <c r="AC64" s="522"/>
      <c r="AD64" s="522"/>
      <c r="AE64" s="522"/>
      <c r="AF64" s="522"/>
      <c r="AG64" s="875"/>
      <c r="AH64" s="507"/>
      <c r="AI64" s="507"/>
      <c r="AJ64" s="507"/>
      <c r="AK64" s="507"/>
      <c r="AL64" s="507"/>
      <c r="AM64" s="507"/>
      <c r="AN64" s="507"/>
      <c r="AO64" s="507"/>
      <c r="AP64" s="507"/>
      <c r="AQ64" s="507"/>
      <c r="AR64" s="507"/>
      <c r="AS64" s="507"/>
      <c r="AT64" s="507"/>
      <c r="AU64" s="507"/>
      <c r="AV64" s="507"/>
      <c r="AW64" s="507"/>
      <c r="AX64" s="507"/>
      <c r="AY64" s="507"/>
      <c r="AZ64" s="507"/>
      <c r="BA64" s="507"/>
      <c r="BB64" s="507"/>
      <c r="BC64" s="507"/>
      <c r="BD64" s="507"/>
      <c r="BE64" s="507"/>
      <c r="BF64" s="507"/>
      <c r="BG64" s="507"/>
      <c r="BH64" s="507"/>
      <c r="BI64" s="507"/>
      <c r="BJ64" s="507"/>
      <c r="BK64" s="507"/>
      <c r="BL64" s="507"/>
      <c r="BM64" s="507"/>
      <c r="BN64" s="507"/>
      <c r="BO64" s="507"/>
      <c r="BP64" s="507"/>
      <c r="BQ64" s="507"/>
      <c r="BR64" s="507"/>
      <c r="BS64" s="507"/>
      <c r="BT64" s="507"/>
      <c r="BU64" s="507"/>
      <c r="BV64" s="507"/>
      <c r="BW64" s="507"/>
      <c r="BX64" s="507"/>
      <c r="BY64" s="507"/>
      <c r="BZ64" s="507"/>
      <c r="CA64" s="507"/>
      <c r="CB64" s="507"/>
      <c r="CC64" s="507"/>
      <c r="CD64" s="507"/>
      <c r="CE64" s="507"/>
      <c r="CF64" s="507"/>
      <c r="CG64" s="507"/>
      <c r="CH64" s="507"/>
      <c r="CI64" s="507"/>
      <c r="CJ64" s="507"/>
      <c r="CK64" s="507"/>
      <c r="CL64" s="507"/>
      <c r="CM64" s="507"/>
      <c r="CN64" s="507"/>
      <c r="CO64" s="507"/>
      <c r="CP64" s="507"/>
      <c r="CQ64" s="507"/>
      <c r="CR64" s="507"/>
      <c r="CS64" s="507"/>
      <c r="CT64" s="507"/>
      <c r="CU64" s="507"/>
      <c r="CV64" s="507"/>
      <c r="CW64" s="507"/>
      <c r="CX64" s="507"/>
      <c r="CY64" s="507"/>
      <c r="CZ64" s="507"/>
      <c r="DA64" s="507"/>
      <c r="DB64" s="507"/>
      <c r="DC64" s="507"/>
      <c r="DD64" s="507"/>
      <c r="DE64" s="507"/>
      <c r="DF64" s="507"/>
      <c r="DG64" s="507"/>
      <c r="DH64" s="507"/>
      <c r="DI64" s="507"/>
      <c r="DJ64" s="507"/>
      <c r="DK64" s="507"/>
      <c r="DL64" s="507"/>
      <c r="DM64" s="507"/>
      <c r="DN64" s="507"/>
      <c r="DO64" s="507"/>
      <c r="DP64" s="507"/>
      <c r="DQ64" s="507"/>
      <c r="DR64" s="507"/>
      <c r="DS64" s="507"/>
      <c r="DT64" s="507"/>
      <c r="DU64" s="507"/>
      <c r="DV64" s="507"/>
      <c r="DW64" s="507"/>
      <c r="DX64" s="507"/>
      <c r="DY64" s="507"/>
      <c r="DZ64" s="507"/>
      <c r="EA64" s="507"/>
      <c r="EB64" s="507"/>
      <c r="EC64" s="507"/>
      <c r="ED64" s="507"/>
      <c r="EE64" s="507"/>
      <c r="EF64" s="507"/>
      <c r="EG64" s="507"/>
      <c r="EH64" s="507"/>
      <c r="EI64" s="507"/>
      <c r="EJ64" s="507"/>
      <c r="EK64" s="507"/>
      <c r="EL64" s="507"/>
      <c r="EM64" s="507"/>
      <c r="EN64" s="507"/>
      <c r="EO64" s="507"/>
      <c r="EP64" s="507"/>
      <c r="EQ64" s="507"/>
      <c r="ER64" s="507"/>
      <c r="ES64" s="507"/>
      <c r="ET64" s="507"/>
      <c r="EU64" s="507"/>
      <c r="EV64" s="507"/>
      <c r="EW64" s="507"/>
      <c r="EX64" s="507"/>
      <c r="EY64" s="507"/>
      <c r="EZ64" s="507"/>
      <c r="FA64" s="507"/>
      <c r="FB64" s="507"/>
      <c r="FC64" s="507"/>
      <c r="FD64" s="507"/>
      <c r="FE64" s="507"/>
      <c r="FF64" s="507"/>
      <c r="FG64" s="507"/>
      <c r="FH64" s="507"/>
      <c r="FI64" s="507"/>
      <c r="FJ64" s="507"/>
      <c r="FK64" s="507"/>
      <c r="FL64" s="507"/>
      <c r="FM64" s="507"/>
      <c r="FN64" s="507"/>
      <c r="FO64" s="507"/>
      <c r="FP64" s="507"/>
      <c r="FQ64" s="507"/>
      <c r="FR64" s="507"/>
      <c r="FS64" s="507"/>
      <c r="FT64" s="507"/>
      <c r="FU64" s="507"/>
      <c r="FV64" s="507"/>
      <c r="FW64" s="507"/>
      <c r="FX64" s="507"/>
      <c r="FY64" s="507"/>
      <c r="FZ64" s="507"/>
      <c r="GA64" s="507"/>
      <c r="GB64" s="507"/>
      <c r="GC64" s="507"/>
      <c r="GD64" s="507"/>
      <c r="GE64" s="507"/>
      <c r="GF64" s="507"/>
      <c r="GG64" s="507"/>
      <c r="GH64" s="507"/>
      <c r="GI64" s="507"/>
      <c r="GJ64" s="507"/>
      <c r="GK64" s="507"/>
      <c r="GL64" s="507"/>
      <c r="GM64" s="507"/>
      <c r="GN64" s="507"/>
      <c r="GO64" s="507"/>
      <c r="GP64" s="507"/>
      <c r="GQ64" s="507"/>
      <c r="GR64" s="507"/>
      <c r="GS64" s="507"/>
      <c r="GT64" s="507"/>
      <c r="GU64" s="507"/>
      <c r="GV64" s="507"/>
      <c r="GW64" s="507"/>
      <c r="GX64" s="507"/>
      <c r="GY64" s="507"/>
      <c r="GZ64" s="507"/>
      <c r="HA64" s="507"/>
      <c r="HB64" s="507"/>
      <c r="HC64" s="507"/>
      <c r="HD64" s="507"/>
      <c r="HE64" s="507"/>
      <c r="HF64" s="507"/>
      <c r="HG64" s="507"/>
      <c r="HH64" s="507"/>
      <c r="HI64" s="507"/>
      <c r="HJ64" s="507"/>
      <c r="HK64" s="507"/>
      <c r="HL64" s="507"/>
      <c r="HM64" s="507"/>
      <c r="HN64" s="507"/>
      <c r="HO64" s="507"/>
      <c r="HP64" s="507"/>
      <c r="HQ64" s="507"/>
      <c r="HR64" s="507"/>
      <c r="HS64" s="507"/>
      <c r="HT64" s="507"/>
      <c r="HU64" s="507"/>
      <c r="HV64" s="507"/>
      <c r="HW64" s="507"/>
      <c r="HX64" s="507"/>
      <c r="HY64" s="507"/>
      <c r="HZ64" s="507"/>
      <c r="IA64" s="507"/>
      <c r="IB64" s="507"/>
      <c r="IC64" s="507"/>
      <c r="ID64" s="507"/>
      <c r="IE64" s="507"/>
      <c r="IF64" s="507"/>
      <c r="IG64" s="507"/>
      <c r="IH64" s="507"/>
      <c r="II64" s="507"/>
      <c r="IJ64" s="520"/>
      <c r="IK64" s="520"/>
      <c r="IL64" s="507"/>
      <c r="IM64" s="507"/>
      <c r="IN64" s="507"/>
      <c r="IO64" s="507"/>
      <c r="IP64" s="507"/>
      <c r="IQ64" s="507"/>
      <c r="IR64" s="507"/>
      <c r="IS64" s="507"/>
      <c r="IT64" s="507"/>
      <c r="IU64" s="507"/>
      <c r="IV64" s="507"/>
      <c r="IW64" s="507"/>
      <c r="IX64" s="507"/>
      <c r="IY64" s="507"/>
      <c r="IZ64" s="507"/>
      <c r="JA64" s="520"/>
      <c r="JB64" s="507"/>
      <c r="JC64" s="507"/>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5" t="s">
        <v>2525</v>
      </c>
      <c r="E65" s="1136">
        <v>1</v>
      </c>
      <c r="F65" s="1137">
        <f>'Part VI-Revenues &amp; Expenses'!$K$110</f>
        <v>205</v>
      </c>
      <c r="G65" s="1138">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205 units = </v>
      </c>
      <c r="I65" s="1139">
        <f>F65*G65</f>
        <v>31937565</v>
      </c>
      <c r="J65" s="43"/>
      <c r="K65" s="1137">
        <f>'Part VI-Revenues &amp; Expenses'!$K$111</f>
        <v>0</v>
      </c>
      <c r="L65" s="1138">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9">
        <f>K65*L65</f>
        <v>0</v>
      </c>
      <c r="O65" s="745"/>
      <c r="P65" s="2182">
        <f>IF(P53&gt;1,P53, IF(AND('Part IV-Uses of Funds'!$T$164="Yes",'Part IX A-Scoring Criteria'!$O$314&gt;0),I71+N71,I71))</f>
        <v>32271408</v>
      </c>
      <c r="Q65" s="2183"/>
      <c r="R65" s="457"/>
      <c r="U65" s="36"/>
      <c r="V65" s="509"/>
      <c r="W65" s="509"/>
      <c r="X65" s="512"/>
      <c r="Y65" s="509"/>
      <c r="Z65" s="521"/>
      <c r="AA65" s="522"/>
      <c r="AB65" s="522"/>
      <c r="AC65" s="522"/>
      <c r="AD65" s="522"/>
      <c r="AE65" s="522"/>
      <c r="AF65" s="522"/>
      <c r="AG65" s="875"/>
      <c r="AH65" s="507"/>
      <c r="AI65" s="507"/>
      <c r="AJ65" s="507"/>
      <c r="AK65" s="507"/>
      <c r="AL65" s="507"/>
      <c r="AM65" s="507"/>
      <c r="AN65" s="507"/>
      <c r="AO65" s="507"/>
      <c r="AP65" s="507"/>
      <c r="AQ65" s="507"/>
      <c r="AR65" s="507"/>
      <c r="AS65" s="507"/>
      <c r="AT65" s="507"/>
      <c r="AU65" s="507"/>
      <c r="AV65" s="507"/>
      <c r="AW65" s="507"/>
      <c r="AX65" s="507"/>
      <c r="AY65" s="507"/>
      <c r="AZ65" s="507"/>
      <c r="BA65" s="507"/>
      <c r="BB65" s="507"/>
      <c r="BC65" s="507"/>
      <c r="BD65" s="507"/>
      <c r="BE65" s="507"/>
      <c r="BF65" s="507"/>
      <c r="BG65" s="507"/>
      <c r="BH65" s="507"/>
      <c r="BI65" s="507"/>
      <c r="BJ65" s="507"/>
      <c r="BK65" s="507"/>
      <c r="BL65" s="507"/>
      <c r="BM65" s="507"/>
      <c r="BN65" s="507"/>
      <c r="BO65" s="507"/>
      <c r="BP65" s="507"/>
      <c r="BQ65" s="507"/>
      <c r="BR65" s="507"/>
      <c r="BS65" s="507"/>
      <c r="BT65" s="507"/>
      <c r="BU65" s="507"/>
      <c r="BV65" s="507"/>
      <c r="BW65" s="507"/>
      <c r="BX65" s="507"/>
      <c r="BY65" s="507"/>
      <c r="BZ65" s="507"/>
      <c r="CA65" s="507"/>
      <c r="CB65" s="507"/>
      <c r="CC65" s="507"/>
      <c r="CD65" s="507"/>
      <c r="CE65" s="507"/>
      <c r="CF65" s="507"/>
      <c r="CG65" s="507"/>
      <c r="CH65" s="507"/>
      <c r="CI65" s="507"/>
      <c r="CJ65" s="507"/>
      <c r="CK65" s="507"/>
      <c r="CL65" s="507"/>
      <c r="CM65" s="507"/>
      <c r="CN65" s="507"/>
      <c r="CO65" s="507"/>
      <c r="CP65" s="507"/>
      <c r="CQ65" s="507"/>
      <c r="CR65" s="507"/>
      <c r="CS65" s="507"/>
      <c r="CT65" s="507"/>
      <c r="CU65" s="507"/>
      <c r="CV65" s="507"/>
      <c r="CW65" s="507"/>
      <c r="CX65" s="507"/>
      <c r="CY65" s="507"/>
      <c r="CZ65" s="507"/>
      <c r="DA65" s="507"/>
      <c r="DB65" s="507"/>
      <c r="DC65" s="507"/>
      <c r="DD65" s="507"/>
      <c r="DE65" s="507"/>
      <c r="DF65" s="507"/>
      <c r="DG65" s="507"/>
      <c r="DH65" s="507"/>
      <c r="DI65" s="507"/>
      <c r="DJ65" s="507"/>
      <c r="DK65" s="507"/>
      <c r="DL65" s="507"/>
      <c r="DM65" s="507"/>
      <c r="DN65" s="507"/>
      <c r="DO65" s="507"/>
      <c r="DP65" s="507"/>
      <c r="DQ65" s="507"/>
      <c r="DR65" s="507"/>
      <c r="DS65" s="507"/>
      <c r="DT65" s="507"/>
      <c r="DU65" s="507"/>
      <c r="DV65" s="507"/>
      <c r="DW65" s="507"/>
      <c r="DX65" s="507"/>
      <c r="DY65" s="507"/>
      <c r="DZ65" s="507"/>
      <c r="EA65" s="507"/>
      <c r="EB65" s="507"/>
      <c r="EC65" s="507"/>
      <c r="ED65" s="507"/>
      <c r="EE65" s="507"/>
      <c r="EF65" s="507"/>
      <c r="EG65" s="507"/>
      <c r="EH65" s="507"/>
      <c r="EI65" s="507"/>
      <c r="EJ65" s="507"/>
      <c r="EK65" s="507"/>
      <c r="EL65" s="507"/>
      <c r="EM65" s="507"/>
      <c r="EN65" s="507"/>
      <c r="EO65" s="507"/>
      <c r="EP65" s="507"/>
      <c r="EQ65" s="507"/>
      <c r="ER65" s="507"/>
      <c r="ES65" s="507"/>
      <c r="ET65" s="507"/>
      <c r="EU65" s="507"/>
      <c r="EV65" s="507"/>
      <c r="EW65" s="507"/>
      <c r="EX65" s="507"/>
      <c r="EY65" s="507"/>
      <c r="EZ65" s="507"/>
      <c r="FA65" s="507"/>
      <c r="FB65" s="507"/>
      <c r="FC65" s="507"/>
      <c r="FD65" s="507"/>
      <c r="FE65" s="507"/>
      <c r="FF65" s="507"/>
      <c r="FG65" s="507"/>
      <c r="FH65" s="507"/>
      <c r="FI65" s="507"/>
      <c r="FJ65" s="507"/>
      <c r="FK65" s="507"/>
      <c r="FL65" s="507"/>
      <c r="FM65" s="507"/>
      <c r="FN65" s="507"/>
      <c r="FO65" s="507"/>
      <c r="FP65" s="507"/>
      <c r="FQ65" s="507"/>
      <c r="FR65" s="507"/>
      <c r="FS65" s="507"/>
      <c r="FT65" s="507"/>
      <c r="FU65" s="507"/>
      <c r="FV65" s="507"/>
      <c r="FW65" s="507"/>
      <c r="FX65" s="507"/>
      <c r="FY65" s="507"/>
      <c r="FZ65" s="507"/>
      <c r="GA65" s="507"/>
      <c r="GB65" s="507"/>
      <c r="GC65" s="507"/>
      <c r="GD65" s="507"/>
      <c r="GE65" s="507"/>
      <c r="GF65" s="507"/>
      <c r="GG65" s="507"/>
      <c r="GH65" s="507"/>
      <c r="GI65" s="507"/>
      <c r="GJ65" s="507"/>
      <c r="GK65" s="507"/>
      <c r="GL65" s="507"/>
      <c r="GM65" s="507"/>
      <c r="GN65" s="507"/>
      <c r="GO65" s="507"/>
      <c r="GP65" s="507"/>
      <c r="GQ65" s="507"/>
      <c r="GR65" s="507"/>
      <c r="GS65" s="507"/>
      <c r="GT65" s="507"/>
      <c r="GU65" s="507"/>
      <c r="GV65" s="507"/>
      <c r="GW65" s="507"/>
      <c r="GX65" s="507"/>
      <c r="GY65" s="507"/>
      <c r="GZ65" s="507"/>
      <c r="HA65" s="507"/>
      <c r="HB65" s="507"/>
      <c r="HC65" s="507"/>
      <c r="HD65" s="507"/>
      <c r="HE65" s="507"/>
      <c r="HF65" s="507"/>
      <c r="HG65" s="507"/>
      <c r="HH65" s="507"/>
      <c r="HI65" s="507"/>
      <c r="HJ65" s="507"/>
      <c r="HK65" s="507"/>
      <c r="HL65" s="507"/>
      <c r="HM65" s="507"/>
      <c r="HN65" s="507"/>
      <c r="HO65" s="507"/>
      <c r="HP65" s="507"/>
      <c r="HQ65" s="507"/>
      <c r="HR65" s="507"/>
      <c r="HS65" s="507"/>
      <c r="HT65" s="507"/>
      <c r="HU65" s="507"/>
      <c r="HV65" s="507"/>
      <c r="HW65" s="507"/>
      <c r="HX65" s="507"/>
      <c r="HY65" s="507"/>
      <c r="HZ65" s="507"/>
      <c r="IA65" s="507"/>
      <c r="IB65" s="507"/>
      <c r="IC65" s="507"/>
      <c r="ID65" s="507"/>
      <c r="IE65" s="507"/>
      <c r="IF65" s="507"/>
      <c r="IG65" s="507"/>
      <c r="IH65" s="507"/>
      <c r="II65" s="507"/>
      <c r="IJ65" s="520"/>
      <c r="IK65" s="520"/>
      <c r="IL65" s="507"/>
      <c r="IM65" s="507"/>
      <c r="IN65" s="507"/>
      <c r="IO65" s="507"/>
      <c r="IP65" s="507"/>
      <c r="IQ65" s="507"/>
      <c r="IR65" s="507"/>
      <c r="IS65" s="507"/>
      <c r="IT65" s="507"/>
      <c r="IU65" s="507"/>
      <c r="IV65" s="507"/>
      <c r="IW65" s="507"/>
      <c r="IX65" s="507"/>
      <c r="IY65" s="507"/>
      <c r="IZ65" s="507"/>
      <c r="JA65" s="520"/>
      <c r="JB65" s="507"/>
      <c r="JC65" s="507"/>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5" t="s">
        <v>2526</v>
      </c>
      <c r="E66" s="1136">
        <v>2</v>
      </c>
      <c r="F66" s="1137">
        <f>'Part VI-Revenues &amp; Expenses'!$L$110</f>
        <v>0</v>
      </c>
      <c r="G66" s="1138">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0 units = </v>
      </c>
      <c r="I66" s="1139">
        <f>F66*G66</f>
        <v>0</v>
      </c>
      <c r="J66" s="43"/>
      <c r="K66" s="1137">
        <f>'Part VI-Revenues &amp; Expenses'!$L$111</f>
        <v>0</v>
      </c>
      <c r="L66" s="1138">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9">
        <f>K66*L66</f>
        <v>0</v>
      </c>
      <c r="P66" s="2184"/>
      <c r="Q66" s="2185"/>
      <c r="R66" s="457"/>
      <c r="U66" s="36"/>
      <c r="V66" s="509"/>
      <c r="W66" s="509"/>
      <c r="X66" s="512"/>
      <c r="Y66" s="509"/>
      <c r="Z66" s="521"/>
      <c r="AA66" s="522"/>
      <c r="AB66" s="522"/>
      <c r="AC66" s="522"/>
      <c r="AD66" s="522"/>
      <c r="AE66" s="522"/>
      <c r="AF66" s="522"/>
      <c r="AG66" s="875"/>
      <c r="AH66" s="507"/>
      <c r="AI66" s="507"/>
      <c r="AJ66" s="507"/>
      <c r="AK66" s="507"/>
      <c r="AL66" s="507"/>
      <c r="AM66" s="507"/>
      <c r="AN66" s="507"/>
      <c r="AO66" s="507"/>
      <c r="AP66" s="507"/>
      <c r="AQ66" s="507"/>
      <c r="AR66" s="507"/>
      <c r="AS66" s="507"/>
      <c r="AT66" s="507"/>
      <c r="AU66" s="507"/>
      <c r="AV66" s="507"/>
      <c r="AW66" s="507"/>
      <c r="AX66" s="507"/>
      <c r="AY66" s="507"/>
      <c r="AZ66" s="507"/>
      <c r="BA66" s="507"/>
      <c r="BB66" s="507"/>
      <c r="BC66" s="507"/>
      <c r="BD66" s="507"/>
      <c r="BE66" s="507"/>
      <c r="BF66" s="507"/>
      <c r="BG66" s="507"/>
      <c r="BH66" s="507"/>
      <c r="BI66" s="507"/>
      <c r="BJ66" s="507"/>
      <c r="BK66" s="507"/>
      <c r="BL66" s="507"/>
      <c r="BM66" s="507"/>
      <c r="BN66" s="507"/>
      <c r="BO66" s="507"/>
      <c r="BP66" s="507"/>
      <c r="BQ66" s="507"/>
      <c r="BR66" s="507"/>
      <c r="BS66" s="507"/>
      <c r="BT66" s="507"/>
      <c r="BU66" s="507"/>
      <c r="BV66" s="507"/>
      <c r="BW66" s="507"/>
      <c r="BX66" s="507"/>
      <c r="BY66" s="507"/>
      <c r="BZ66" s="507"/>
      <c r="CA66" s="507"/>
      <c r="CB66" s="507"/>
      <c r="CC66" s="507"/>
      <c r="CD66" s="507"/>
      <c r="CE66" s="507"/>
      <c r="CF66" s="507"/>
      <c r="CG66" s="507"/>
      <c r="CH66" s="507"/>
      <c r="CI66" s="507"/>
      <c r="CJ66" s="507"/>
      <c r="CK66" s="507"/>
      <c r="CL66" s="507"/>
      <c r="CM66" s="507"/>
      <c r="CN66" s="507"/>
      <c r="CO66" s="507"/>
      <c r="CP66" s="507"/>
      <c r="CQ66" s="507"/>
      <c r="CR66" s="507"/>
      <c r="CS66" s="507"/>
      <c r="CT66" s="507"/>
      <c r="CU66" s="507"/>
      <c r="CV66" s="507"/>
      <c r="CW66" s="507"/>
      <c r="CX66" s="507"/>
      <c r="CY66" s="507"/>
      <c r="CZ66" s="507"/>
      <c r="DA66" s="507"/>
      <c r="DB66" s="507"/>
      <c r="DC66" s="507"/>
      <c r="DD66" s="507"/>
      <c r="DE66" s="507"/>
      <c r="DF66" s="507"/>
      <c r="DG66" s="507"/>
      <c r="DH66" s="507"/>
      <c r="DI66" s="507"/>
      <c r="DJ66" s="507"/>
      <c r="DK66" s="507"/>
      <c r="DL66" s="507"/>
      <c r="DM66" s="507"/>
      <c r="DN66" s="507"/>
      <c r="DO66" s="507"/>
      <c r="DP66" s="507"/>
      <c r="DQ66" s="507"/>
      <c r="DR66" s="507"/>
      <c r="DS66" s="507"/>
      <c r="DT66" s="507"/>
      <c r="DU66" s="507"/>
      <c r="DV66" s="507"/>
      <c r="DW66" s="507"/>
      <c r="DX66" s="507"/>
      <c r="DY66" s="507"/>
      <c r="DZ66" s="507"/>
      <c r="EA66" s="507"/>
      <c r="EB66" s="507"/>
      <c r="EC66" s="507"/>
      <c r="ED66" s="507"/>
      <c r="EE66" s="507"/>
      <c r="EF66" s="507"/>
      <c r="EG66" s="507"/>
      <c r="EH66" s="507"/>
      <c r="EI66" s="507"/>
      <c r="EJ66" s="507"/>
      <c r="EK66" s="507"/>
      <c r="EL66" s="507"/>
      <c r="EM66" s="507"/>
      <c r="EN66" s="507"/>
      <c r="EO66" s="507"/>
      <c r="EP66" s="507"/>
      <c r="EQ66" s="507"/>
      <c r="ER66" s="507"/>
      <c r="ES66" s="507"/>
      <c r="ET66" s="507"/>
      <c r="EU66" s="507"/>
      <c r="EV66" s="507"/>
      <c r="EW66" s="507"/>
      <c r="EX66" s="507"/>
      <c r="EY66" s="507"/>
      <c r="EZ66" s="507"/>
      <c r="FA66" s="507"/>
      <c r="FB66" s="507"/>
      <c r="FC66" s="507"/>
      <c r="FD66" s="507"/>
      <c r="FE66" s="507"/>
      <c r="FF66" s="507"/>
      <c r="FG66" s="507"/>
      <c r="FH66" s="507"/>
      <c r="FI66" s="507"/>
      <c r="FJ66" s="507"/>
      <c r="FK66" s="507"/>
      <c r="FL66" s="507"/>
      <c r="FM66" s="507"/>
      <c r="FN66" s="507"/>
      <c r="FO66" s="507"/>
      <c r="FP66" s="507"/>
      <c r="FQ66" s="507"/>
      <c r="FR66" s="507"/>
      <c r="FS66" s="507"/>
      <c r="FT66" s="507"/>
      <c r="FU66" s="507"/>
      <c r="FV66" s="507"/>
      <c r="FW66" s="507"/>
      <c r="FX66" s="507"/>
      <c r="FY66" s="507"/>
      <c r="FZ66" s="507"/>
      <c r="GA66" s="507"/>
      <c r="GB66" s="507"/>
      <c r="GC66" s="507"/>
      <c r="GD66" s="507"/>
      <c r="GE66" s="507"/>
      <c r="GF66" s="507"/>
      <c r="GG66" s="507"/>
      <c r="GH66" s="507"/>
      <c r="GI66" s="507"/>
      <c r="GJ66" s="507"/>
      <c r="GK66" s="507"/>
      <c r="GL66" s="507"/>
      <c r="GM66" s="507"/>
      <c r="GN66" s="507"/>
      <c r="GO66" s="507"/>
      <c r="GP66" s="507"/>
      <c r="GQ66" s="507"/>
      <c r="GR66" s="507"/>
      <c r="GS66" s="507"/>
      <c r="GT66" s="507"/>
      <c r="GU66" s="507"/>
      <c r="GV66" s="507"/>
      <c r="GW66" s="507"/>
      <c r="GX66" s="507"/>
      <c r="GY66" s="507"/>
      <c r="GZ66" s="507"/>
      <c r="HA66" s="507"/>
      <c r="HB66" s="507"/>
      <c r="HC66" s="507"/>
      <c r="HD66" s="507"/>
      <c r="HE66" s="507"/>
      <c r="HF66" s="507"/>
      <c r="HG66" s="507"/>
      <c r="HH66" s="507"/>
      <c r="HI66" s="507"/>
      <c r="HJ66" s="507"/>
      <c r="HK66" s="507"/>
      <c r="HL66" s="507"/>
      <c r="HM66" s="507"/>
      <c r="HN66" s="507"/>
      <c r="HO66" s="507"/>
      <c r="HP66" s="507"/>
      <c r="HQ66" s="507"/>
      <c r="HR66" s="507"/>
      <c r="HS66" s="507"/>
      <c r="HT66" s="507"/>
      <c r="HU66" s="507"/>
      <c r="HV66" s="507"/>
      <c r="HW66" s="507"/>
      <c r="HX66" s="507"/>
      <c r="HY66" s="507"/>
      <c r="HZ66" s="507"/>
      <c r="IA66" s="507"/>
      <c r="IB66" s="507"/>
      <c r="IC66" s="507"/>
      <c r="ID66" s="507"/>
      <c r="IE66" s="507"/>
      <c r="IF66" s="507"/>
      <c r="IG66" s="507"/>
      <c r="IH66" s="507"/>
      <c r="II66" s="507"/>
      <c r="IJ66" s="520"/>
      <c r="IK66" s="520"/>
      <c r="IL66" s="507"/>
      <c r="IM66" s="507"/>
      <c r="IN66" s="507"/>
      <c r="IO66" s="507"/>
      <c r="IP66" s="507"/>
      <c r="IQ66" s="507"/>
      <c r="IR66" s="507"/>
      <c r="IS66" s="507"/>
      <c r="IT66" s="507"/>
      <c r="IU66" s="507"/>
      <c r="IV66" s="507"/>
      <c r="IW66" s="507"/>
      <c r="IX66" s="507"/>
      <c r="IY66" s="507"/>
      <c r="IZ66" s="507"/>
      <c r="JA66" s="520"/>
      <c r="JB66" s="507"/>
      <c r="JC66" s="507"/>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5" t="s">
        <v>2527</v>
      </c>
      <c r="E67" s="1136">
        <v>3</v>
      </c>
      <c r="F67" s="1137">
        <f>'Part VI-Revenues &amp; Expenses'!$M$110</f>
        <v>0</v>
      </c>
      <c r="G67" s="1138">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9">
        <f>F67*G67</f>
        <v>0</v>
      </c>
      <c r="J67" s="43"/>
      <c r="K67" s="1137">
        <f>'Part VI-Revenues &amp; Expenses'!$M$111</f>
        <v>0</v>
      </c>
      <c r="L67" s="1138">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9">
        <f>K67*L67</f>
        <v>0</v>
      </c>
      <c r="P67" s="2118" t="s">
        <v>2847</v>
      </c>
      <c r="Q67" s="2118"/>
      <c r="R67" s="457"/>
      <c r="U67" s="36"/>
      <c r="V67" s="509"/>
      <c r="W67" s="509"/>
      <c r="X67" s="512"/>
      <c r="Y67" s="509"/>
      <c r="Z67" s="521"/>
      <c r="AA67" s="522"/>
      <c r="AB67" s="522"/>
      <c r="AC67" s="522"/>
      <c r="AD67" s="522"/>
      <c r="AE67" s="522"/>
      <c r="AF67" s="522"/>
      <c r="AG67" s="875"/>
      <c r="AH67" s="507"/>
      <c r="AI67" s="507"/>
      <c r="AJ67" s="507"/>
      <c r="AK67" s="507"/>
      <c r="AL67" s="507"/>
      <c r="AM67" s="507"/>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7"/>
      <c r="BL67" s="507"/>
      <c r="BM67" s="507"/>
      <c r="BN67" s="507"/>
      <c r="BO67" s="507"/>
      <c r="BP67" s="507"/>
      <c r="BQ67" s="507"/>
      <c r="BR67" s="507"/>
      <c r="BS67" s="507"/>
      <c r="BT67" s="507"/>
      <c r="BU67" s="507"/>
      <c r="BV67" s="507"/>
      <c r="BW67" s="507"/>
      <c r="BX67" s="507"/>
      <c r="BY67" s="507"/>
      <c r="BZ67" s="507"/>
      <c r="CA67" s="507"/>
      <c r="CB67" s="507"/>
      <c r="CC67" s="507"/>
      <c r="CD67" s="507"/>
      <c r="CE67" s="507"/>
      <c r="CF67" s="507"/>
      <c r="CG67" s="507"/>
      <c r="CH67" s="507"/>
      <c r="CI67" s="507"/>
      <c r="CJ67" s="507"/>
      <c r="CK67" s="507"/>
      <c r="CL67" s="507"/>
      <c r="CM67" s="507"/>
      <c r="CN67" s="507"/>
      <c r="CO67" s="507"/>
      <c r="CP67" s="507"/>
      <c r="CQ67" s="507"/>
      <c r="CR67" s="507"/>
      <c r="CS67" s="507"/>
      <c r="CT67" s="507"/>
      <c r="CU67" s="507"/>
      <c r="CV67" s="507"/>
      <c r="CW67" s="507"/>
      <c r="CX67" s="507"/>
      <c r="CY67" s="507"/>
      <c r="CZ67" s="507"/>
      <c r="DA67" s="507"/>
      <c r="DB67" s="507"/>
      <c r="DC67" s="507"/>
      <c r="DD67" s="507"/>
      <c r="DE67" s="507"/>
      <c r="DF67" s="507"/>
      <c r="DG67" s="507"/>
      <c r="DH67" s="507"/>
      <c r="DI67" s="507"/>
      <c r="DJ67" s="507"/>
      <c r="DK67" s="507"/>
      <c r="DL67" s="507"/>
      <c r="DM67" s="507"/>
      <c r="DN67" s="507"/>
      <c r="DO67" s="507"/>
      <c r="DP67" s="507"/>
      <c r="DQ67" s="507"/>
      <c r="DR67" s="507"/>
      <c r="DS67" s="507"/>
      <c r="DT67" s="507"/>
      <c r="DU67" s="507"/>
      <c r="DV67" s="507"/>
      <c r="DW67" s="507"/>
      <c r="DX67" s="507"/>
      <c r="DY67" s="507"/>
      <c r="DZ67" s="507"/>
      <c r="EA67" s="507"/>
      <c r="EB67" s="507"/>
      <c r="EC67" s="507"/>
      <c r="ED67" s="507"/>
      <c r="EE67" s="507"/>
      <c r="EF67" s="507"/>
      <c r="EG67" s="507"/>
      <c r="EH67" s="507"/>
      <c r="EI67" s="507"/>
      <c r="EJ67" s="507"/>
      <c r="EK67" s="507"/>
      <c r="EL67" s="507"/>
      <c r="EM67" s="507"/>
      <c r="EN67" s="507"/>
      <c r="EO67" s="507"/>
      <c r="EP67" s="507"/>
      <c r="EQ67" s="507"/>
      <c r="ER67" s="507"/>
      <c r="ES67" s="507"/>
      <c r="ET67" s="507"/>
      <c r="EU67" s="507"/>
      <c r="EV67" s="507"/>
      <c r="EW67" s="507"/>
      <c r="EX67" s="507"/>
      <c r="EY67" s="507"/>
      <c r="EZ67" s="507"/>
      <c r="FA67" s="507"/>
      <c r="FB67" s="507"/>
      <c r="FC67" s="507"/>
      <c r="FD67" s="507"/>
      <c r="FE67" s="507"/>
      <c r="FF67" s="507"/>
      <c r="FG67" s="507"/>
      <c r="FH67" s="507"/>
      <c r="FI67" s="507"/>
      <c r="FJ67" s="507"/>
      <c r="FK67" s="507"/>
      <c r="FL67" s="507"/>
      <c r="FM67" s="507"/>
      <c r="FN67" s="507"/>
      <c r="FO67" s="507"/>
      <c r="FP67" s="507"/>
      <c r="FQ67" s="507"/>
      <c r="FR67" s="507"/>
      <c r="FS67" s="507"/>
      <c r="FT67" s="507"/>
      <c r="FU67" s="507"/>
      <c r="FV67" s="507"/>
      <c r="FW67" s="507"/>
      <c r="FX67" s="507"/>
      <c r="FY67" s="507"/>
      <c r="FZ67" s="507"/>
      <c r="GA67" s="507"/>
      <c r="GB67" s="507"/>
      <c r="GC67" s="507"/>
      <c r="GD67" s="507"/>
      <c r="GE67" s="507"/>
      <c r="GF67" s="507"/>
      <c r="GG67" s="507"/>
      <c r="GH67" s="507"/>
      <c r="GI67" s="507"/>
      <c r="GJ67" s="507"/>
      <c r="GK67" s="507"/>
      <c r="GL67" s="507"/>
      <c r="GM67" s="507"/>
      <c r="GN67" s="507"/>
      <c r="GO67" s="507"/>
      <c r="GP67" s="507"/>
      <c r="GQ67" s="507"/>
      <c r="GR67" s="507"/>
      <c r="GS67" s="507"/>
      <c r="GT67" s="507"/>
      <c r="GU67" s="507"/>
      <c r="GV67" s="507"/>
      <c r="GW67" s="507"/>
      <c r="GX67" s="507"/>
      <c r="GY67" s="507"/>
      <c r="GZ67" s="507"/>
      <c r="HA67" s="507"/>
      <c r="HB67" s="507"/>
      <c r="HC67" s="507"/>
      <c r="HD67" s="507"/>
      <c r="HE67" s="507"/>
      <c r="HF67" s="507"/>
      <c r="HG67" s="507"/>
      <c r="HH67" s="507"/>
      <c r="HI67" s="507"/>
      <c r="HJ67" s="507"/>
      <c r="HK67" s="507"/>
      <c r="HL67" s="507"/>
      <c r="HM67" s="507"/>
      <c r="HN67" s="507"/>
      <c r="HO67" s="507"/>
      <c r="HP67" s="507"/>
      <c r="HQ67" s="507"/>
      <c r="HR67" s="507"/>
      <c r="HS67" s="507"/>
      <c r="HT67" s="507"/>
      <c r="HU67" s="507"/>
      <c r="HV67" s="507"/>
      <c r="HW67" s="507"/>
      <c r="HX67" s="507"/>
      <c r="HY67" s="507"/>
      <c r="HZ67" s="507"/>
      <c r="IA67" s="507"/>
      <c r="IB67" s="507"/>
      <c r="IC67" s="507"/>
      <c r="ID67" s="507"/>
      <c r="IE67" s="507"/>
      <c r="IF67" s="507"/>
      <c r="IG67" s="507"/>
      <c r="IH67" s="507"/>
      <c r="II67" s="507"/>
      <c r="IJ67" s="520"/>
      <c r="IK67" s="520"/>
      <c r="IL67" s="507"/>
      <c r="IM67" s="507"/>
      <c r="IN67" s="507"/>
      <c r="IO67" s="507"/>
      <c r="IP67" s="507"/>
      <c r="IQ67" s="507"/>
      <c r="IR67" s="507"/>
      <c r="IS67" s="507"/>
      <c r="IT67" s="507"/>
      <c r="IU67" s="507"/>
      <c r="IV67" s="507"/>
      <c r="IW67" s="507"/>
      <c r="IX67" s="507"/>
      <c r="IY67" s="507"/>
      <c r="IZ67" s="507"/>
      <c r="JA67" s="520"/>
      <c r="JB67" s="507"/>
      <c r="JC67" s="507"/>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0" t="s">
        <v>2528</v>
      </c>
      <c r="E68" s="1136">
        <v>4</v>
      </c>
      <c r="F68" s="1137">
        <f>'Part VI-Revenues &amp; Expenses'!$N$110</f>
        <v>0</v>
      </c>
      <c r="G68" s="1138">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9">
        <f>F68*G68</f>
        <v>0</v>
      </c>
      <c r="J68" s="43"/>
      <c r="K68" s="1137">
        <f>'Part VI-Revenues &amp; Expenses'!$N$111</f>
        <v>0</v>
      </c>
      <c r="L68" s="1138">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9">
        <f>K68*L68</f>
        <v>0</v>
      </c>
      <c r="O68" s="745"/>
      <c r="P68" s="2118"/>
      <c r="Q68" s="2118"/>
      <c r="R68" s="457"/>
      <c r="U68" s="36"/>
      <c r="V68" s="509"/>
      <c r="W68" s="509"/>
      <c r="X68" s="512"/>
      <c r="Y68" s="509"/>
      <c r="Z68" s="521"/>
      <c r="AA68" s="522"/>
      <c r="AB68" s="522"/>
      <c r="AC68" s="522"/>
      <c r="AD68" s="522"/>
      <c r="AE68" s="522"/>
      <c r="AF68" s="522"/>
      <c r="AG68" s="875"/>
      <c r="AH68" s="507"/>
      <c r="AI68" s="507"/>
      <c r="AJ68" s="507"/>
      <c r="AK68" s="507"/>
      <c r="AL68" s="507"/>
      <c r="AM68" s="507"/>
      <c r="AN68" s="507"/>
      <c r="AO68" s="507"/>
      <c r="AP68" s="507"/>
      <c r="AQ68" s="507"/>
      <c r="AR68" s="507"/>
      <c r="AS68" s="507"/>
      <c r="AT68" s="507"/>
      <c r="AU68" s="507"/>
      <c r="AV68" s="507"/>
      <c r="AW68" s="507"/>
      <c r="AX68" s="507"/>
      <c r="AY68" s="507"/>
      <c r="AZ68" s="507"/>
      <c r="BA68" s="507"/>
      <c r="BB68" s="507"/>
      <c r="BC68" s="507"/>
      <c r="BD68" s="507"/>
      <c r="BE68" s="507"/>
      <c r="BF68" s="507"/>
      <c r="BG68" s="507"/>
      <c r="BH68" s="507"/>
      <c r="BI68" s="507"/>
      <c r="BJ68" s="507"/>
      <c r="BK68" s="507"/>
      <c r="BL68" s="507"/>
      <c r="BM68" s="507"/>
      <c r="BN68" s="507"/>
      <c r="BO68" s="507"/>
      <c r="BP68" s="507"/>
      <c r="BQ68" s="507"/>
      <c r="BR68" s="507"/>
      <c r="BS68" s="507"/>
      <c r="BT68" s="507"/>
      <c r="BU68" s="507"/>
      <c r="BV68" s="507"/>
      <c r="BW68" s="507"/>
      <c r="BX68" s="507"/>
      <c r="BY68" s="507"/>
      <c r="BZ68" s="507"/>
      <c r="CA68" s="507"/>
      <c r="CB68" s="507"/>
      <c r="CC68" s="507"/>
      <c r="CD68" s="507"/>
      <c r="CE68" s="507"/>
      <c r="CF68" s="507"/>
      <c r="CG68" s="507"/>
      <c r="CH68" s="507"/>
      <c r="CI68" s="507"/>
      <c r="CJ68" s="507"/>
      <c r="CK68" s="507"/>
      <c r="CL68" s="507"/>
      <c r="CM68" s="507"/>
      <c r="CN68" s="507"/>
      <c r="CO68" s="507"/>
      <c r="CP68" s="507"/>
      <c r="CQ68" s="507"/>
      <c r="CR68" s="507"/>
      <c r="CS68" s="507"/>
      <c r="CT68" s="507"/>
      <c r="CU68" s="507"/>
      <c r="CV68" s="507"/>
      <c r="CW68" s="507"/>
      <c r="CX68" s="507"/>
      <c r="CY68" s="507"/>
      <c r="CZ68" s="507"/>
      <c r="DA68" s="507"/>
      <c r="DB68" s="507"/>
      <c r="DC68" s="507"/>
      <c r="DD68" s="507"/>
      <c r="DE68" s="507"/>
      <c r="DF68" s="507"/>
      <c r="DG68" s="507"/>
      <c r="DH68" s="507"/>
      <c r="DI68" s="507"/>
      <c r="DJ68" s="507"/>
      <c r="DK68" s="507"/>
      <c r="DL68" s="507"/>
      <c r="DM68" s="507"/>
      <c r="DN68" s="507"/>
      <c r="DO68" s="507"/>
      <c r="DP68" s="507"/>
      <c r="DQ68" s="507"/>
      <c r="DR68" s="507"/>
      <c r="DS68" s="507"/>
      <c r="DT68" s="507"/>
      <c r="DU68" s="507"/>
      <c r="DV68" s="507"/>
      <c r="DW68" s="507"/>
      <c r="DX68" s="507"/>
      <c r="DY68" s="507"/>
      <c r="DZ68" s="507"/>
      <c r="EA68" s="507"/>
      <c r="EB68" s="507"/>
      <c r="EC68" s="507"/>
      <c r="ED68" s="507"/>
      <c r="EE68" s="507"/>
      <c r="EF68" s="507"/>
      <c r="EG68" s="507"/>
      <c r="EH68" s="507"/>
      <c r="EI68" s="507"/>
      <c r="EJ68" s="507"/>
      <c r="EK68" s="507"/>
      <c r="EL68" s="507"/>
      <c r="EM68" s="507"/>
      <c r="EN68" s="507"/>
      <c r="EO68" s="507"/>
      <c r="EP68" s="507"/>
      <c r="EQ68" s="507"/>
      <c r="ER68" s="507"/>
      <c r="ES68" s="507"/>
      <c r="ET68" s="507"/>
      <c r="EU68" s="507"/>
      <c r="EV68" s="507"/>
      <c r="EW68" s="507"/>
      <c r="EX68" s="507"/>
      <c r="EY68" s="507"/>
      <c r="EZ68" s="507"/>
      <c r="FA68" s="507"/>
      <c r="FB68" s="507"/>
      <c r="FC68" s="507"/>
      <c r="FD68" s="507"/>
      <c r="FE68" s="507"/>
      <c r="FF68" s="507"/>
      <c r="FG68" s="507"/>
      <c r="FH68" s="507"/>
      <c r="FI68" s="507"/>
      <c r="FJ68" s="507"/>
      <c r="FK68" s="507"/>
      <c r="FL68" s="507"/>
      <c r="FM68" s="507"/>
      <c r="FN68" s="507"/>
      <c r="FO68" s="507"/>
      <c r="FP68" s="507"/>
      <c r="FQ68" s="507"/>
      <c r="FR68" s="507"/>
      <c r="FS68" s="507"/>
      <c r="FT68" s="507"/>
      <c r="FU68" s="507"/>
      <c r="FV68" s="507"/>
      <c r="FW68" s="507"/>
      <c r="FX68" s="507"/>
      <c r="FY68" s="507"/>
      <c r="FZ68" s="507"/>
      <c r="GA68" s="507"/>
      <c r="GB68" s="507"/>
      <c r="GC68" s="507"/>
      <c r="GD68" s="507"/>
      <c r="GE68" s="507"/>
      <c r="GF68" s="507"/>
      <c r="GG68" s="507"/>
      <c r="GH68" s="507"/>
      <c r="GI68" s="507"/>
      <c r="GJ68" s="507"/>
      <c r="GK68" s="507"/>
      <c r="GL68" s="507"/>
      <c r="GM68" s="507"/>
      <c r="GN68" s="507"/>
      <c r="GO68" s="507"/>
      <c r="GP68" s="507"/>
      <c r="GQ68" s="507"/>
      <c r="GR68" s="507"/>
      <c r="GS68" s="507"/>
      <c r="GT68" s="507"/>
      <c r="GU68" s="507"/>
      <c r="GV68" s="507"/>
      <c r="GW68" s="507"/>
      <c r="GX68" s="507"/>
      <c r="GY68" s="507"/>
      <c r="GZ68" s="507"/>
      <c r="HA68" s="507"/>
      <c r="HB68" s="507"/>
      <c r="HC68" s="507"/>
      <c r="HD68" s="507"/>
      <c r="HE68" s="507"/>
      <c r="HF68" s="507"/>
      <c r="HG68" s="507"/>
      <c r="HH68" s="507"/>
      <c r="HI68" s="507"/>
      <c r="HJ68" s="507"/>
      <c r="HK68" s="507"/>
      <c r="HL68" s="507"/>
      <c r="HM68" s="507"/>
      <c r="HN68" s="507"/>
      <c r="HO68" s="507"/>
      <c r="HP68" s="507"/>
      <c r="HQ68" s="507"/>
      <c r="HR68" s="507"/>
      <c r="HS68" s="507"/>
      <c r="HT68" s="507"/>
      <c r="HU68" s="507"/>
      <c r="HV68" s="507"/>
      <c r="HW68" s="507"/>
      <c r="HX68" s="507"/>
      <c r="HY68" s="507"/>
      <c r="HZ68" s="507"/>
      <c r="IA68" s="507"/>
      <c r="IB68" s="507"/>
      <c r="IC68" s="507"/>
      <c r="ID68" s="507"/>
      <c r="IE68" s="507"/>
      <c r="IF68" s="507"/>
      <c r="IG68" s="507"/>
      <c r="IH68" s="507"/>
      <c r="II68" s="507"/>
      <c r="IJ68" s="520"/>
      <c r="IK68" s="520"/>
      <c r="IL68" s="507"/>
      <c r="IM68" s="507"/>
      <c r="IN68" s="507"/>
      <c r="IO68" s="507"/>
      <c r="IP68" s="507"/>
      <c r="IQ68" s="507"/>
      <c r="IR68" s="507"/>
      <c r="IS68" s="507"/>
      <c r="IT68" s="507"/>
      <c r="IU68" s="507"/>
      <c r="IV68" s="507"/>
      <c r="IW68" s="507"/>
      <c r="IX68" s="507"/>
      <c r="IY68" s="507"/>
      <c r="IZ68" s="507"/>
      <c r="JA68" s="520"/>
      <c r="JB68" s="507"/>
      <c r="JC68" s="507"/>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3" t="s">
        <v>3557</v>
      </c>
      <c r="E69" s="36"/>
      <c r="F69" s="812">
        <f>SUM(F64:F68)</f>
        <v>208</v>
      </c>
      <c r="G69" s="832"/>
      <c r="H69" s="813"/>
      <c r="I69" s="814">
        <f>SUM(I64:I68)</f>
        <v>32271408</v>
      </c>
      <c r="J69" s="815"/>
      <c r="K69" s="812">
        <f>SUM(K64:K68)</f>
        <v>0</v>
      </c>
      <c r="L69" s="815"/>
      <c r="M69" s="813"/>
      <c r="N69" s="814">
        <f>SUM(N64:N68)</f>
        <v>0</v>
      </c>
      <c r="O69" s="745"/>
      <c r="P69" s="2118"/>
      <c r="Q69" s="2118"/>
      <c r="R69" s="457"/>
      <c r="U69" s="36"/>
      <c r="V69" s="509"/>
      <c r="W69" s="509"/>
      <c r="X69" s="512"/>
      <c r="Y69" s="509"/>
      <c r="Z69" s="521"/>
      <c r="AA69" s="522"/>
      <c r="AB69" s="522"/>
      <c r="AC69" s="522"/>
      <c r="AD69" s="522"/>
      <c r="AE69" s="522"/>
      <c r="AF69" s="522"/>
      <c r="AG69" s="875"/>
      <c r="AH69" s="507"/>
      <c r="AI69" s="507"/>
      <c r="AJ69" s="507"/>
      <c r="AK69" s="507"/>
      <c r="AL69" s="507"/>
      <c r="AM69" s="507"/>
      <c r="AN69" s="507"/>
      <c r="AO69" s="507"/>
      <c r="AP69" s="507"/>
      <c r="AQ69" s="507"/>
      <c r="AR69" s="507"/>
      <c r="AS69" s="507"/>
      <c r="AT69" s="507"/>
      <c r="AU69" s="507"/>
      <c r="AV69" s="507"/>
      <c r="AW69" s="507"/>
      <c r="AX69" s="507"/>
      <c r="AY69" s="507"/>
      <c r="AZ69" s="507"/>
      <c r="BA69" s="507"/>
      <c r="BB69" s="507"/>
      <c r="BC69" s="507"/>
      <c r="BD69" s="507"/>
      <c r="BE69" s="507"/>
      <c r="BF69" s="507"/>
      <c r="BG69" s="507"/>
      <c r="BH69" s="507"/>
      <c r="BI69" s="507"/>
      <c r="BJ69" s="507"/>
      <c r="BK69" s="507"/>
      <c r="BL69" s="507"/>
      <c r="BM69" s="507"/>
      <c r="BN69" s="507"/>
      <c r="BO69" s="507"/>
      <c r="BP69" s="507"/>
      <c r="BQ69" s="507"/>
      <c r="BR69" s="507"/>
      <c r="BS69" s="507"/>
      <c r="BT69" s="507"/>
      <c r="BU69" s="507"/>
      <c r="BV69" s="507"/>
      <c r="BW69" s="507"/>
      <c r="BX69" s="507"/>
      <c r="BY69" s="507"/>
      <c r="BZ69" s="507"/>
      <c r="CA69" s="507"/>
      <c r="CB69" s="507"/>
      <c r="CC69" s="507"/>
      <c r="CD69" s="507"/>
      <c r="CE69" s="507"/>
      <c r="CF69" s="507"/>
      <c r="CG69" s="507"/>
      <c r="CH69" s="507"/>
      <c r="CI69" s="507"/>
      <c r="CJ69" s="507"/>
      <c r="CK69" s="507"/>
      <c r="CL69" s="507"/>
      <c r="CM69" s="507"/>
      <c r="CN69" s="507"/>
      <c r="CO69" s="507"/>
      <c r="CP69" s="507"/>
      <c r="CQ69" s="507"/>
      <c r="CR69" s="507"/>
      <c r="CS69" s="507"/>
      <c r="CT69" s="507"/>
      <c r="CU69" s="507"/>
      <c r="CV69" s="507"/>
      <c r="CW69" s="507"/>
      <c r="CX69" s="507"/>
      <c r="CY69" s="507"/>
      <c r="CZ69" s="507"/>
      <c r="DA69" s="507"/>
      <c r="DB69" s="507"/>
      <c r="DC69" s="507"/>
      <c r="DD69" s="507"/>
      <c r="DE69" s="507"/>
      <c r="DF69" s="507"/>
      <c r="DG69" s="507"/>
      <c r="DH69" s="507"/>
      <c r="DI69" s="507"/>
      <c r="DJ69" s="507"/>
      <c r="DK69" s="507"/>
      <c r="DL69" s="507"/>
      <c r="DM69" s="507"/>
      <c r="DN69" s="507"/>
      <c r="DO69" s="507"/>
      <c r="DP69" s="507"/>
      <c r="DQ69" s="507"/>
      <c r="DR69" s="507"/>
      <c r="DS69" s="507"/>
      <c r="DT69" s="507"/>
      <c r="DU69" s="507"/>
      <c r="DV69" s="507"/>
      <c r="DW69" s="507"/>
      <c r="DX69" s="507"/>
      <c r="DY69" s="507"/>
      <c r="DZ69" s="507"/>
      <c r="EA69" s="507"/>
      <c r="EB69" s="507"/>
      <c r="EC69" s="507"/>
      <c r="ED69" s="507"/>
      <c r="EE69" s="507"/>
      <c r="EF69" s="507"/>
      <c r="EG69" s="507"/>
      <c r="EH69" s="507"/>
      <c r="EI69" s="507"/>
      <c r="EJ69" s="507"/>
      <c r="EK69" s="507"/>
      <c r="EL69" s="507"/>
      <c r="EM69" s="507"/>
      <c r="EN69" s="507"/>
      <c r="EO69" s="507"/>
      <c r="EP69" s="507"/>
      <c r="EQ69" s="507"/>
      <c r="ER69" s="507"/>
      <c r="ES69" s="507"/>
      <c r="ET69" s="507"/>
      <c r="EU69" s="507"/>
      <c r="EV69" s="507"/>
      <c r="EW69" s="507"/>
      <c r="EX69" s="507"/>
      <c r="EY69" s="507"/>
      <c r="EZ69" s="507"/>
      <c r="FA69" s="507"/>
      <c r="FB69" s="507"/>
      <c r="FC69" s="507"/>
      <c r="FD69" s="507"/>
      <c r="FE69" s="507"/>
      <c r="FF69" s="507"/>
      <c r="FG69" s="507"/>
      <c r="FH69" s="507"/>
      <c r="FI69" s="507"/>
      <c r="FJ69" s="507"/>
      <c r="FK69" s="507"/>
      <c r="FL69" s="507"/>
      <c r="FM69" s="507"/>
      <c r="FN69" s="507"/>
      <c r="FO69" s="507"/>
      <c r="FP69" s="507"/>
      <c r="FQ69" s="507"/>
      <c r="FR69" s="507"/>
      <c r="FS69" s="507"/>
      <c r="FT69" s="507"/>
      <c r="FU69" s="507"/>
      <c r="FV69" s="507"/>
      <c r="FW69" s="507"/>
      <c r="FX69" s="507"/>
      <c r="FY69" s="507"/>
      <c r="FZ69" s="507"/>
      <c r="GA69" s="507"/>
      <c r="GB69" s="507"/>
      <c r="GC69" s="507"/>
      <c r="GD69" s="507"/>
      <c r="GE69" s="507"/>
      <c r="GF69" s="507"/>
      <c r="GG69" s="507"/>
      <c r="GH69" s="507"/>
      <c r="GI69" s="507"/>
      <c r="GJ69" s="507"/>
      <c r="GK69" s="507"/>
      <c r="GL69" s="507"/>
      <c r="GM69" s="507"/>
      <c r="GN69" s="507"/>
      <c r="GO69" s="507"/>
      <c r="GP69" s="507"/>
      <c r="GQ69" s="507"/>
      <c r="GR69" s="507"/>
      <c r="GS69" s="507"/>
      <c r="GT69" s="507"/>
      <c r="GU69" s="507"/>
      <c r="GV69" s="507"/>
      <c r="GW69" s="507"/>
      <c r="GX69" s="507"/>
      <c r="GY69" s="507"/>
      <c r="GZ69" s="507"/>
      <c r="HA69" s="507"/>
      <c r="HB69" s="507"/>
      <c r="HC69" s="507"/>
      <c r="HD69" s="507"/>
      <c r="HE69" s="507"/>
      <c r="HF69" s="507"/>
      <c r="HG69" s="507"/>
      <c r="HH69" s="507"/>
      <c r="HI69" s="507"/>
      <c r="HJ69" s="507"/>
      <c r="HK69" s="507"/>
      <c r="HL69" s="507"/>
      <c r="HM69" s="507"/>
      <c r="HN69" s="507"/>
      <c r="HO69" s="507"/>
      <c r="HP69" s="507"/>
      <c r="HQ69" s="507"/>
      <c r="HR69" s="507"/>
      <c r="HS69" s="507"/>
      <c r="HT69" s="507"/>
      <c r="HU69" s="507"/>
      <c r="HV69" s="507"/>
      <c r="HW69" s="507"/>
      <c r="HX69" s="507"/>
      <c r="HY69" s="507"/>
      <c r="HZ69" s="507"/>
      <c r="IA69" s="507"/>
      <c r="IB69" s="507"/>
      <c r="IC69" s="507"/>
      <c r="ID69" s="507"/>
      <c r="IE69" s="507"/>
      <c r="IF69" s="507"/>
      <c r="IG69" s="507"/>
      <c r="IH69" s="507"/>
      <c r="II69" s="507"/>
      <c r="IJ69" s="520"/>
      <c r="IK69" s="520"/>
      <c r="IL69" s="507"/>
      <c r="IM69" s="507"/>
      <c r="IN69" s="507"/>
      <c r="IO69" s="507"/>
      <c r="IP69" s="507"/>
      <c r="IQ69" s="507"/>
      <c r="IR69" s="507"/>
      <c r="IS69" s="507"/>
      <c r="IT69" s="507"/>
      <c r="IU69" s="507"/>
      <c r="IV69" s="507"/>
      <c r="IW69" s="507"/>
      <c r="IX69" s="507"/>
      <c r="IY69" s="507"/>
      <c r="IZ69" s="507"/>
      <c r="JA69" s="520"/>
      <c r="JB69" s="507"/>
      <c r="JC69" s="507"/>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4"/>
      <c r="I70" s="744"/>
      <c r="J70" s="744"/>
      <c r="K70" s="744"/>
      <c r="L70" s="744"/>
      <c r="M70" s="744"/>
      <c r="N70" s="1830"/>
      <c r="O70" s="745"/>
      <c r="P70" s="2118"/>
      <c r="Q70" s="2118"/>
      <c r="R70" s="457"/>
      <c r="S70" s="457"/>
      <c r="T70" s="36"/>
      <c r="U70" s="36"/>
      <c r="V70" s="509"/>
      <c r="W70" s="509"/>
      <c r="X70" s="512"/>
      <c r="Y70" s="509"/>
      <c r="Z70" s="521"/>
      <c r="AA70" s="522"/>
      <c r="AB70" s="522"/>
      <c r="AC70" s="522"/>
      <c r="AD70" s="522"/>
      <c r="AE70" s="522"/>
      <c r="AF70" s="522"/>
      <c r="AG70" s="875"/>
      <c r="AH70" s="507"/>
      <c r="AI70" s="507"/>
      <c r="AJ70" s="507"/>
      <c r="AK70" s="507"/>
      <c r="AL70" s="507"/>
      <c r="AM70" s="507"/>
      <c r="AN70" s="507"/>
      <c r="AO70" s="507"/>
      <c r="AP70" s="507"/>
      <c r="AQ70" s="507"/>
      <c r="AR70" s="507"/>
      <c r="AS70" s="507"/>
      <c r="AT70" s="507"/>
      <c r="AU70" s="507"/>
      <c r="AV70" s="507"/>
      <c r="AW70" s="507"/>
      <c r="AX70" s="507"/>
      <c r="AY70" s="507"/>
      <c r="AZ70" s="507"/>
      <c r="BA70" s="507"/>
      <c r="BB70" s="507"/>
      <c r="BC70" s="507"/>
      <c r="BD70" s="507"/>
      <c r="BE70" s="507"/>
      <c r="BF70" s="507"/>
      <c r="BG70" s="507"/>
      <c r="BH70" s="507"/>
      <c r="BI70" s="507"/>
      <c r="BJ70" s="507"/>
      <c r="BK70" s="507"/>
      <c r="BL70" s="507"/>
      <c r="BM70" s="507"/>
      <c r="BN70" s="507"/>
      <c r="BO70" s="507"/>
      <c r="BP70" s="507"/>
      <c r="BQ70" s="507"/>
      <c r="BR70" s="507"/>
      <c r="BS70" s="507"/>
      <c r="BT70" s="507"/>
      <c r="BU70" s="507"/>
      <c r="BV70" s="507"/>
      <c r="BW70" s="507"/>
      <c r="BX70" s="507"/>
      <c r="BY70" s="507"/>
      <c r="BZ70" s="507"/>
      <c r="CA70" s="507"/>
      <c r="CB70" s="507"/>
      <c r="CC70" s="507"/>
      <c r="CD70" s="507"/>
      <c r="CE70" s="507"/>
      <c r="CF70" s="507"/>
      <c r="CG70" s="507"/>
      <c r="CH70" s="507"/>
      <c r="CI70" s="507"/>
      <c r="CJ70" s="507"/>
      <c r="CK70" s="507"/>
      <c r="CL70" s="507"/>
      <c r="CM70" s="507"/>
      <c r="CN70" s="507"/>
      <c r="CO70" s="507"/>
      <c r="CP70" s="507"/>
      <c r="CQ70" s="507"/>
      <c r="CR70" s="507"/>
      <c r="CS70" s="507"/>
      <c r="CT70" s="507"/>
      <c r="CU70" s="507"/>
      <c r="CV70" s="507"/>
      <c r="CW70" s="507"/>
      <c r="CX70" s="507"/>
      <c r="CY70" s="507"/>
      <c r="CZ70" s="507"/>
      <c r="DA70" s="507"/>
      <c r="DB70" s="507"/>
      <c r="DC70" s="507"/>
      <c r="DD70" s="507"/>
      <c r="DE70" s="507"/>
      <c r="DF70" s="507"/>
      <c r="DG70" s="507"/>
      <c r="DH70" s="507"/>
      <c r="DI70" s="507"/>
      <c r="DJ70" s="507"/>
      <c r="DK70" s="507"/>
      <c r="DL70" s="507"/>
      <c r="DM70" s="507"/>
      <c r="DN70" s="507"/>
      <c r="DO70" s="507"/>
      <c r="DP70" s="507"/>
      <c r="DQ70" s="507"/>
      <c r="DR70" s="507"/>
      <c r="DS70" s="507"/>
      <c r="DT70" s="507"/>
      <c r="DU70" s="507"/>
      <c r="DV70" s="507"/>
      <c r="DW70" s="507"/>
      <c r="DX70" s="507"/>
      <c r="DY70" s="507"/>
      <c r="DZ70" s="507"/>
      <c r="EA70" s="507"/>
      <c r="EB70" s="507"/>
      <c r="EC70" s="507"/>
      <c r="ED70" s="507"/>
      <c r="EE70" s="507"/>
      <c r="EF70" s="507"/>
      <c r="EG70" s="507"/>
      <c r="EH70" s="507"/>
      <c r="EI70" s="507"/>
      <c r="EJ70" s="507"/>
      <c r="EK70" s="507"/>
      <c r="EL70" s="507"/>
      <c r="EM70" s="507"/>
      <c r="EN70" s="507"/>
      <c r="EO70" s="507"/>
      <c r="EP70" s="507"/>
      <c r="EQ70" s="507"/>
      <c r="ER70" s="507"/>
      <c r="ES70" s="507"/>
      <c r="ET70" s="507"/>
      <c r="EU70" s="507"/>
      <c r="EV70" s="507"/>
      <c r="EW70" s="507"/>
      <c r="EX70" s="507"/>
      <c r="EY70" s="507"/>
      <c r="EZ70" s="507"/>
      <c r="FA70" s="507"/>
      <c r="FB70" s="507"/>
      <c r="FC70" s="507"/>
      <c r="FD70" s="507"/>
      <c r="FE70" s="507"/>
      <c r="FF70" s="507"/>
      <c r="FG70" s="507"/>
      <c r="FH70" s="507"/>
      <c r="FI70" s="507"/>
      <c r="FJ70" s="507"/>
      <c r="FK70" s="507"/>
      <c r="FL70" s="507"/>
      <c r="FM70" s="507"/>
      <c r="FN70" s="507"/>
      <c r="FO70" s="507"/>
      <c r="FP70" s="507"/>
      <c r="FQ70" s="507"/>
      <c r="FR70" s="507"/>
      <c r="FS70" s="507"/>
      <c r="FT70" s="507"/>
      <c r="FU70" s="507"/>
      <c r="FV70" s="507"/>
      <c r="FW70" s="507"/>
      <c r="FX70" s="507"/>
      <c r="FY70" s="507"/>
      <c r="FZ70" s="507"/>
      <c r="GA70" s="507"/>
      <c r="GB70" s="507"/>
      <c r="GC70" s="507"/>
      <c r="GD70" s="507"/>
      <c r="GE70" s="507"/>
      <c r="GF70" s="507"/>
      <c r="GG70" s="507"/>
      <c r="GH70" s="507"/>
      <c r="GI70" s="507"/>
      <c r="GJ70" s="507"/>
      <c r="GK70" s="507"/>
      <c r="GL70" s="507"/>
      <c r="GM70" s="507"/>
      <c r="GN70" s="507"/>
      <c r="GO70" s="507"/>
      <c r="GP70" s="507"/>
      <c r="GQ70" s="507"/>
      <c r="GR70" s="507"/>
      <c r="GS70" s="507"/>
      <c r="GT70" s="507"/>
      <c r="GU70" s="507"/>
      <c r="GV70" s="507"/>
      <c r="GW70" s="507"/>
      <c r="GX70" s="507"/>
      <c r="GY70" s="507"/>
      <c r="GZ70" s="507"/>
      <c r="HA70" s="507"/>
      <c r="HB70" s="507"/>
      <c r="HC70" s="507"/>
      <c r="HD70" s="507"/>
      <c r="HE70" s="507"/>
      <c r="HF70" s="507"/>
      <c r="HG70" s="507"/>
      <c r="HH70" s="507"/>
      <c r="HI70" s="507"/>
      <c r="HJ70" s="507"/>
      <c r="HK70" s="507"/>
      <c r="HL70" s="507"/>
      <c r="HM70" s="507"/>
      <c r="HN70" s="507"/>
      <c r="HO70" s="507"/>
      <c r="HP70" s="507"/>
      <c r="HQ70" s="507"/>
      <c r="HR70" s="507"/>
      <c r="HS70" s="507"/>
      <c r="HT70" s="507"/>
      <c r="HU70" s="507"/>
      <c r="HV70" s="507"/>
      <c r="HW70" s="507"/>
      <c r="HX70" s="507"/>
      <c r="HY70" s="507"/>
      <c r="HZ70" s="507"/>
      <c r="IA70" s="507"/>
      <c r="IB70" s="507"/>
      <c r="IC70" s="507"/>
      <c r="ID70" s="507"/>
      <c r="IE70" s="507"/>
      <c r="IF70" s="507"/>
      <c r="IG70" s="507"/>
      <c r="IH70" s="507"/>
      <c r="II70" s="507"/>
      <c r="IJ70" s="520"/>
      <c r="IK70" s="520"/>
      <c r="IL70" s="507"/>
      <c r="IM70" s="507"/>
      <c r="IN70" s="507"/>
      <c r="IO70" s="507"/>
      <c r="IP70" s="507"/>
      <c r="IQ70" s="507"/>
      <c r="IR70" s="507"/>
      <c r="IS70" s="507"/>
      <c r="IT70" s="507"/>
      <c r="IU70" s="507"/>
      <c r="IV70" s="507"/>
      <c r="IW70" s="507"/>
      <c r="IX70" s="507"/>
      <c r="IY70" s="507"/>
      <c r="IZ70" s="507"/>
      <c r="JA70" s="520"/>
      <c r="JB70" s="507"/>
      <c r="JC70" s="507"/>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20">
        <f>F48+F55+F62+F69</f>
        <v>208</v>
      </c>
      <c r="G71" s="370"/>
      <c r="H71" s="821"/>
      <c r="I71" s="820">
        <f>I48+I55+I62+I69</f>
        <v>32271408</v>
      </c>
      <c r="J71" s="821"/>
      <c r="K71" s="820">
        <f>K48+K55+K62+K69</f>
        <v>0</v>
      </c>
      <c r="L71" s="821"/>
      <c r="M71" s="821"/>
      <c r="N71" s="820">
        <f>N48+N55+N62+N69</f>
        <v>0</v>
      </c>
      <c r="O71" s="745"/>
      <c r="P71" s="2118"/>
      <c r="Q71" s="2118"/>
      <c r="R71" s="457"/>
      <c r="S71" s="457"/>
      <c r="T71" s="36"/>
      <c r="U71" s="36"/>
      <c r="V71" s="509"/>
      <c r="W71" s="509"/>
      <c r="X71" s="512"/>
      <c r="Y71" s="509"/>
      <c r="Z71" s="521"/>
      <c r="AA71" s="522"/>
      <c r="AB71" s="522"/>
      <c r="AC71" s="522"/>
      <c r="AD71" s="522"/>
      <c r="AE71" s="522"/>
      <c r="AF71" s="522"/>
      <c r="AG71" s="875"/>
      <c r="AH71" s="507"/>
      <c r="AI71" s="507"/>
      <c r="AJ71" s="507"/>
      <c r="AK71" s="507"/>
      <c r="AL71" s="507"/>
      <c r="AM71" s="507"/>
      <c r="AN71" s="507"/>
      <c r="AO71" s="507"/>
      <c r="AP71" s="507"/>
      <c r="AQ71" s="507"/>
      <c r="AR71" s="507"/>
      <c r="AS71" s="507"/>
      <c r="AT71" s="507"/>
      <c r="AU71" s="507"/>
      <c r="AV71" s="507"/>
      <c r="AW71" s="507"/>
      <c r="AX71" s="507"/>
      <c r="AY71" s="507"/>
      <c r="AZ71" s="507"/>
      <c r="BA71" s="507"/>
      <c r="BB71" s="507"/>
      <c r="BC71" s="507"/>
      <c r="BD71" s="507"/>
      <c r="BE71" s="507"/>
      <c r="BF71" s="507"/>
      <c r="BG71" s="507"/>
      <c r="BH71" s="507"/>
      <c r="BI71" s="507"/>
      <c r="BJ71" s="507"/>
      <c r="BK71" s="507"/>
      <c r="BL71" s="507"/>
      <c r="BM71" s="507"/>
      <c r="BN71" s="507"/>
      <c r="BO71" s="507"/>
      <c r="BP71" s="507"/>
      <c r="BQ71" s="507"/>
      <c r="BR71" s="507"/>
      <c r="BS71" s="507"/>
      <c r="BT71" s="507"/>
      <c r="BU71" s="507"/>
      <c r="BV71" s="507"/>
      <c r="BW71" s="507"/>
      <c r="BX71" s="507"/>
      <c r="BY71" s="507"/>
      <c r="BZ71" s="507"/>
      <c r="CA71" s="507"/>
      <c r="CB71" s="507"/>
      <c r="CC71" s="507"/>
      <c r="CD71" s="507"/>
      <c r="CE71" s="507"/>
      <c r="CF71" s="507"/>
      <c r="CG71" s="507"/>
      <c r="CH71" s="507"/>
      <c r="CI71" s="507"/>
      <c r="CJ71" s="507"/>
      <c r="CK71" s="507"/>
      <c r="CL71" s="507"/>
      <c r="CM71" s="507"/>
      <c r="CN71" s="507"/>
      <c r="CO71" s="507"/>
      <c r="CP71" s="507"/>
      <c r="CQ71" s="507"/>
      <c r="CR71" s="507"/>
      <c r="CS71" s="507"/>
      <c r="CT71" s="507"/>
      <c r="CU71" s="507"/>
      <c r="CV71" s="507"/>
      <c r="CW71" s="507"/>
      <c r="CX71" s="507"/>
      <c r="CY71" s="507"/>
      <c r="CZ71" s="507"/>
      <c r="DA71" s="507"/>
      <c r="DB71" s="507"/>
      <c r="DC71" s="507"/>
      <c r="DD71" s="507"/>
      <c r="DE71" s="507"/>
      <c r="DF71" s="507"/>
      <c r="DG71" s="507"/>
      <c r="DH71" s="507"/>
      <c r="DI71" s="507"/>
      <c r="DJ71" s="507"/>
      <c r="DK71" s="507"/>
      <c r="DL71" s="507"/>
      <c r="DM71" s="507"/>
      <c r="DN71" s="507"/>
      <c r="DO71" s="507"/>
      <c r="DP71" s="507"/>
      <c r="DQ71" s="507"/>
      <c r="DR71" s="507"/>
      <c r="DS71" s="507"/>
      <c r="DT71" s="507"/>
      <c r="DU71" s="507"/>
      <c r="DV71" s="507"/>
      <c r="DW71" s="507"/>
      <c r="DX71" s="507"/>
      <c r="DY71" s="507"/>
      <c r="DZ71" s="507"/>
      <c r="EA71" s="507"/>
      <c r="EB71" s="507"/>
      <c r="EC71" s="507"/>
      <c r="ED71" s="507"/>
      <c r="EE71" s="507"/>
      <c r="EF71" s="507"/>
      <c r="EG71" s="507"/>
      <c r="EH71" s="507"/>
      <c r="EI71" s="507"/>
      <c r="EJ71" s="507"/>
      <c r="EK71" s="507"/>
      <c r="EL71" s="507"/>
      <c r="EM71" s="507"/>
      <c r="EN71" s="507"/>
      <c r="EO71" s="507"/>
      <c r="EP71" s="507"/>
      <c r="EQ71" s="507"/>
      <c r="ER71" s="507"/>
      <c r="ES71" s="507"/>
      <c r="ET71" s="507"/>
      <c r="EU71" s="507"/>
      <c r="EV71" s="507"/>
      <c r="EW71" s="507"/>
      <c r="EX71" s="507"/>
      <c r="EY71" s="507"/>
      <c r="EZ71" s="507"/>
      <c r="FA71" s="507"/>
      <c r="FB71" s="507"/>
      <c r="FC71" s="507"/>
      <c r="FD71" s="507"/>
      <c r="FE71" s="507"/>
      <c r="FF71" s="507"/>
      <c r="FG71" s="507"/>
      <c r="FH71" s="507"/>
      <c r="FI71" s="507"/>
      <c r="FJ71" s="507"/>
      <c r="FK71" s="507"/>
      <c r="FL71" s="507"/>
      <c r="FM71" s="507"/>
      <c r="FN71" s="507"/>
      <c r="FO71" s="507"/>
      <c r="FP71" s="507"/>
      <c r="FQ71" s="507"/>
      <c r="FR71" s="507"/>
      <c r="FS71" s="507"/>
      <c r="FT71" s="507"/>
      <c r="FU71" s="507"/>
      <c r="FV71" s="507"/>
      <c r="FW71" s="507"/>
      <c r="FX71" s="507"/>
      <c r="FY71" s="507"/>
      <c r="FZ71" s="507"/>
      <c r="GA71" s="507"/>
      <c r="GB71" s="507"/>
      <c r="GC71" s="507"/>
      <c r="GD71" s="507"/>
      <c r="GE71" s="507"/>
      <c r="GF71" s="507"/>
      <c r="GG71" s="507"/>
      <c r="GH71" s="507"/>
      <c r="GI71" s="507"/>
      <c r="GJ71" s="507"/>
      <c r="GK71" s="507"/>
      <c r="GL71" s="507"/>
      <c r="GM71" s="507"/>
      <c r="GN71" s="507"/>
      <c r="GO71" s="507"/>
      <c r="GP71" s="507"/>
      <c r="GQ71" s="507"/>
      <c r="GR71" s="507"/>
      <c r="GS71" s="507"/>
      <c r="GT71" s="507"/>
      <c r="GU71" s="507"/>
      <c r="GV71" s="507"/>
      <c r="GW71" s="507"/>
      <c r="GX71" s="507"/>
      <c r="GY71" s="507"/>
      <c r="GZ71" s="507"/>
      <c r="HA71" s="507"/>
      <c r="HB71" s="507"/>
      <c r="HC71" s="507"/>
      <c r="HD71" s="507"/>
      <c r="HE71" s="507"/>
      <c r="HF71" s="507"/>
      <c r="HG71" s="507"/>
      <c r="HH71" s="507"/>
      <c r="HI71" s="507"/>
      <c r="HJ71" s="507"/>
      <c r="HK71" s="507"/>
      <c r="HL71" s="507"/>
      <c r="HM71" s="507"/>
      <c r="HN71" s="507"/>
      <c r="HO71" s="507"/>
      <c r="HP71" s="507"/>
      <c r="HQ71" s="507"/>
      <c r="HR71" s="507"/>
      <c r="HS71" s="507"/>
      <c r="HT71" s="507"/>
      <c r="HU71" s="507"/>
      <c r="HV71" s="507"/>
      <c r="HW71" s="507"/>
      <c r="HX71" s="507"/>
      <c r="HY71" s="507"/>
      <c r="HZ71" s="507"/>
      <c r="IA71" s="507"/>
      <c r="IB71" s="507"/>
      <c r="IC71" s="507"/>
      <c r="ID71" s="507"/>
      <c r="IE71" s="507"/>
      <c r="IF71" s="507"/>
      <c r="IG71" s="507"/>
      <c r="IH71" s="507"/>
      <c r="II71" s="507"/>
      <c r="IJ71" s="520"/>
      <c r="IK71" s="520"/>
      <c r="IL71" s="507"/>
      <c r="IM71" s="507"/>
      <c r="IN71" s="507"/>
      <c r="IO71" s="507"/>
      <c r="IP71" s="507"/>
      <c r="IQ71" s="507"/>
      <c r="IR71" s="507"/>
      <c r="IS71" s="507"/>
      <c r="IT71" s="507"/>
      <c r="IU71" s="507"/>
      <c r="IV71" s="507"/>
      <c r="IW71" s="507"/>
      <c r="IX71" s="507"/>
      <c r="IY71" s="507"/>
      <c r="IZ71" s="507"/>
      <c r="JA71" s="520"/>
      <c r="JB71" s="507"/>
      <c r="JC71" s="507"/>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822"/>
      <c r="J72" s="1822"/>
      <c r="K72" s="147" t="s">
        <v>1937</v>
      </c>
      <c r="L72" s="1810"/>
      <c r="M72" s="1810"/>
      <c r="N72" s="1810"/>
      <c r="O72" s="1810"/>
      <c r="P72" s="1810"/>
      <c r="Q72" s="1219"/>
    </row>
    <row r="73" spans="1:295" ht="10.5" customHeight="1">
      <c r="A73" s="2900" t="s">
        <v>4365</v>
      </c>
      <c r="B73" s="2901"/>
      <c r="C73" s="2901"/>
      <c r="D73" s="2901"/>
      <c r="E73" s="2901"/>
      <c r="F73" s="2901"/>
      <c r="G73" s="2901"/>
      <c r="H73" s="2901"/>
      <c r="I73" s="2901"/>
      <c r="J73" s="2902"/>
      <c r="K73" s="2121"/>
      <c r="L73" s="2122"/>
      <c r="M73" s="2122"/>
      <c r="N73" s="2122"/>
      <c r="O73" s="2122"/>
      <c r="P73" s="2122"/>
      <c r="Q73" s="2123"/>
      <c r="R73" s="502" t="s">
        <v>1301</v>
      </c>
      <c r="U73" s="146"/>
      <c r="V73" s="146"/>
      <c r="W73" s="146"/>
      <c r="X73" s="146"/>
      <c r="Y73" s="146"/>
      <c r="Z73" s="146"/>
      <c r="AA73" s="146"/>
      <c r="AB73" s="146"/>
      <c r="AC73" s="146"/>
      <c r="AD73" s="146"/>
      <c r="AE73" s="529"/>
    </row>
    <row r="74" spans="1:295" ht="3" customHeight="1">
      <c r="B74" s="1822"/>
      <c r="C74" s="1814"/>
      <c r="D74" s="1814"/>
      <c r="E74" s="1814"/>
      <c r="F74" s="1814"/>
      <c r="G74" s="1814"/>
      <c r="H74" s="1814"/>
      <c r="I74" s="1814"/>
      <c r="J74" s="1814"/>
      <c r="K74" s="1814"/>
      <c r="L74" s="1814"/>
      <c r="M74" s="1814"/>
      <c r="N74" s="1814"/>
      <c r="O74" s="1814"/>
      <c r="P74" s="1814"/>
      <c r="Q74" s="1810"/>
    </row>
    <row r="75" spans="1:295" ht="12.75" customHeight="1">
      <c r="A75" s="1818">
        <v>3</v>
      </c>
      <c r="B75" s="4" t="s">
        <v>1234</v>
      </c>
      <c r="C75" s="4"/>
      <c r="D75" s="4"/>
      <c r="E75" s="1814"/>
      <c r="F75" s="1814"/>
      <c r="G75" s="150" t="s">
        <v>101</v>
      </c>
      <c r="H75" s="1814"/>
      <c r="J75" s="2903" t="str">
        <f>'Part I-Project Information'!$H$67</f>
        <v>Elderly</v>
      </c>
      <c r="K75" s="2904"/>
      <c r="L75" s="2905"/>
      <c r="O75" s="142" t="s">
        <v>1938</v>
      </c>
      <c r="P75" s="2106"/>
      <c r="Q75" s="2107"/>
    </row>
    <row r="76" spans="1:295" ht="10.5" customHeight="1">
      <c r="B76" s="101" t="s">
        <v>1936</v>
      </c>
      <c r="D76" s="101"/>
      <c r="E76" s="101"/>
      <c r="F76" s="101"/>
      <c r="G76" s="101"/>
      <c r="H76" s="41"/>
      <c r="I76" s="1822"/>
      <c r="J76" s="1822"/>
      <c r="K76" s="147" t="s">
        <v>1937</v>
      </c>
      <c r="L76" s="1810"/>
      <c r="M76" s="1810"/>
      <c r="N76" s="1810"/>
      <c r="O76" s="1810"/>
      <c r="P76" s="1810"/>
      <c r="Q76" s="1219"/>
    </row>
    <row r="77" spans="1:295" ht="10.5" customHeight="1">
      <c r="A77" s="2900" t="s">
        <v>4366</v>
      </c>
      <c r="B77" s="2901"/>
      <c r="C77" s="2901"/>
      <c r="D77" s="2901"/>
      <c r="E77" s="2901"/>
      <c r="F77" s="2901"/>
      <c r="G77" s="2901"/>
      <c r="H77" s="2901"/>
      <c r="I77" s="2901"/>
      <c r="J77" s="2902"/>
      <c r="K77" s="2121"/>
      <c r="L77" s="2122"/>
      <c r="M77" s="2122"/>
      <c r="N77" s="2122"/>
      <c r="O77" s="2122"/>
      <c r="P77" s="2122"/>
      <c r="Q77" s="2123"/>
      <c r="R77" s="502" t="s">
        <v>1301</v>
      </c>
      <c r="U77" s="146"/>
      <c r="V77" s="146"/>
      <c r="W77" s="146"/>
      <c r="X77" s="146"/>
      <c r="Y77" s="146"/>
      <c r="Z77" s="146"/>
      <c r="AA77" s="146"/>
      <c r="AB77" s="146"/>
      <c r="AC77" s="146"/>
      <c r="AD77" s="146"/>
      <c r="AE77" s="529"/>
    </row>
    <row r="78" spans="1:295" ht="3" customHeight="1">
      <c r="A78" s="1810"/>
      <c r="B78" s="1822"/>
      <c r="C78" s="1814"/>
      <c r="D78" s="1814"/>
      <c r="E78" s="1814"/>
      <c r="F78" s="1814"/>
      <c r="G78" s="1814"/>
      <c r="H78" s="1814"/>
      <c r="I78" s="1814"/>
      <c r="J78" s="1814"/>
      <c r="K78" s="1814"/>
      <c r="L78" s="1814"/>
      <c r="M78" s="1814"/>
      <c r="N78" s="1814"/>
      <c r="O78" s="1814"/>
      <c r="P78" s="1814"/>
      <c r="Q78" s="1810"/>
    </row>
    <row r="79" spans="1:295" ht="12.75" customHeight="1">
      <c r="A79" s="1818">
        <v>4</v>
      </c>
      <c r="B79" s="1818" t="s">
        <v>2745</v>
      </c>
      <c r="C79" s="121"/>
      <c r="D79" s="1814"/>
      <c r="E79" s="1814"/>
      <c r="F79" s="1814"/>
      <c r="G79" s="1814"/>
      <c r="H79" s="1814"/>
      <c r="I79" s="1814"/>
      <c r="J79" s="1814"/>
      <c r="K79" s="1814"/>
      <c r="L79" s="1814"/>
      <c r="M79" s="1814"/>
      <c r="O79" s="142" t="s">
        <v>1938</v>
      </c>
      <c r="P79" s="2106"/>
      <c r="Q79" s="2107"/>
    </row>
    <row r="80" spans="1:295" ht="1.5" customHeight="1"/>
    <row r="81" spans="1:31" ht="10.5" customHeight="1">
      <c r="B81" s="863" t="s">
        <v>2058</v>
      </c>
      <c r="C81" s="435" t="s">
        <v>4153</v>
      </c>
      <c r="D81" s="1346"/>
      <c r="E81" s="1346"/>
      <c r="F81" s="1346"/>
      <c r="G81" s="1346"/>
      <c r="H81" s="1346"/>
      <c r="I81" s="1346"/>
      <c r="J81" s="1347" t="s">
        <v>4154</v>
      </c>
      <c r="K81" s="1346"/>
      <c r="L81" s="1346"/>
      <c r="M81" s="1346"/>
      <c r="O81" s="153"/>
      <c r="P81" s="2896" t="s">
        <v>4362</v>
      </c>
    </row>
    <row r="82" spans="1:31" ht="10.5" customHeight="1">
      <c r="B82" s="121" t="s">
        <v>2061</v>
      </c>
      <c r="C82" s="1220" t="s">
        <v>3887</v>
      </c>
      <c r="D82" s="1220"/>
      <c r="E82" s="1220"/>
      <c r="F82" s="1220"/>
      <c r="G82" s="1220"/>
      <c r="H82" s="1220"/>
      <c r="I82" s="1220"/>
      <c r="J82" s="1220"/>
      <c r="K82" s="1220"/>
      <c r="L82" s="1220"/>
      <c r="M82" s="1220"/>
      <c r="O82" s="1220"/>
      <c r="P82" s="1220"/>
      <c r="Q82" s="1220"/>
    </row>
    <row r="83" spans="1:31" ht="20.25" customHeight="1">
      <c r="A83" s="154"/>
      <c r="B83" s="70" t="s">
        <v>1803</v>
      </c>
      <c r="C83" s="1220" t="s">
        <v>3755</v>
      </c>
      <c r="E83" s="1815"/>
      <c r="F83" s="1815"/>
      <c r="G83" s="1815"/>
      <c r="H83" s="34"/>
      <c r="I83" s="37" t="s">
        <v>2810</v>
      </c>
      <c r="J83" s="2906" t="s">
        <v>4367</v>
      </c>
      <c r="K83" s="2907"/>
      <c r="L83" s="2907"/>
      <c r="M83" s="2907"/>
      <c r="N83" s="2907"/>
      <c r="O83" s="2907"/>
      <c r="P83" s="2907"/>
      <c r="Q83" s="2908"/>
    </row>
    <row r="84" spans="1:31" ht="10.9" customHeight="1">
      <c r="A84" s="154"/>
      <c r="B84" s="70" t="s">
        <v>1804</v>
      </c>
      <c r="C84" s="1220" t="s">
        <v>3885</v>
      </c>
      <c r="E84" s="1815"/>
      <c r="F84" s="1815"/>
      <c r="G84" s="1815"/>
      <c r="H84" s="34"/>
      <c r="I84" s="37" t="s">
        <v>2810</v>
      </c>
      <c r="J84" s="2909"/>
      <c r="K84" s="2910"/>
      <c r="L84" s="2910"/>
      <c r="M84" s="2910"/>
      <c r="N84" s="2910"/>
      <c r="O84" s="2910"/>
      <c r="P84" s="2910"/>
      <c r="Q84" s="2911"/>
    </row>
    <row r="85" spans="1:31" ht="10.9" customHeight="1">
      <c r="A85" s="154"/>
      <c r="B85" s="70" t="s">
        <v>1805</v>
      </c>
      <c r="C85" s="1220" t="s">
        <v>3886</v>
      </c>
      <c r="E85" s="1815"/>
      <c r="F85" s="1815"/>
      <c r="G85" s="1815"/>
      <c r="H85" s="34"/>
      <c r="I85" s="37" t="s">
        <v>2810</v>
      </c>
      <c r="J85" s="2909" t="s">
        <v>4368</v>
      </c>
      <c r="K85" s="2910"/>
      <c r="L85" s="2910"/>
      <c r="M85" s="2910"/>
      <c r="N85" s="2910"/>
      <c r="O85" s="2910"/>
      <c r="P85" s="2910"/>
      <c r="Q85" s="2911"/>
    </row>
    <row r="86" spans="1:31" ht="10.9" customHeight="1">
      <c r="A86" s="154"/>
      <c r="B86" s="527" t="s">
        <v>2448</v>
      </c>
      <c r="C86" s="1220" t="s">
        <v>3559</v>
      </c>
      <c r="E86" s="1815"/>
      <c r="I86" s="37" t="s">
        <v>2810</v>
      </c>
      <c r="J86" s="2912"/>
      <c r="K86" s="2913"/>
      <c r="L86" s="2913"/>
      <c r="M86" s="2913"/>
      <c r="N86" s="2913"/>
      <c r="O86" s="2913"/>
      <c r="P86" s="2913"/>
      <c r="Q86" s="2914"/>
    </row>
    <row r="87" spans="1:31" ht="10.9" customHeight="1">
      <c r="A87" s="154"/>
      <c r="B87" s="121" t="s">
        <v>779</v>
      </c>
      <c r="C87" s="41" t="s">
        <v>3854</v>
      </c>
      <c r="D87" s="1220"/>
      <c r="E87" s="1815"/>
      <c r="J87" s="37"/>
      <c r="K87" s="37"/>
      <c r="L87" s="37"/>
      <c r="M87" s="37"/>
      <c r="N87" s="37"/>
      <c r="O87" s="37"/>
      <c r="P87" s="37"/>
      <c r="Q87" s="37"/>
    </row>
    <row r="88" spans="1:31" ht="10.9" customHeight="1">
      <c r="A88" s="154"/>
      <c r="B88" s="48"/>
      <c r="C88" s="57" t="s">
        <v>3888</v>
      </c>
      <c r="D88" s="144"/>
      <c r="E88" s="144"/>
      <c r="F88" s="144"/>
      <c r="G88" s="144"/>
      <c r="H88" s="144"/>
      <c r="I88" s="43"/>
      <c r="J88" s="43"/>
      <c r="K88" s="527" t="s">
        <v>779</v>
      </c>
      <c r="L88" s="2915"/>
      <c r="M88" s="2916"/>
      <c r="N88" s="2916"/>
      <c r="O88" s="2916"/>
      <c r="P88" s="2917"/>
      <c r="Q88" s="630"/>
    </row>
    <row r="89" spans="1:31" ht="10.5" customHeight="1">
      <c r="B89" s="101" t="s">
        <v>1936</v>
      </c>
      <c r="D89" s="101"/>
      <c r="E89" s="101"/>
      <c r="F89" s="101"/>
      <c r="G89" s="101"/>
      <c r="H89" s="41"/>
      <c r="I89" s="1822"/>
      <c r="J89" s="1822"/>
      <c r="K89" s="147" t="s">
        <v>1937</v>
      </c>
      <c r="L89" s="1810"/>
      <c r="M89" s="1810"/>
      <c r="N89" s="1810"/>
      <c r="O89" s="1810"/>
      <c r="P89" s="1810"/>
      <c r="Q89" s="1219"/>
    </row>
    <row r="90" spans="1:31" ht="25.5" customHeight="1">
      <c r="A90" s="2900" t="s">
        <v>4369</v>
      </c>
      <c r="B90" s="2901"/>
      <c r="C90" s="2901"/>
      <c r="D90" s="2901"/>
      <c r="E90" s="2901"/>
      <c r="F90" s="2901"/>
      <c r="G90" s="2901"/>
      <c r="H90" s="2901"/>
      <c r="I90" s="2901"/>
      <c r="J90" s="2902"/>
      <c r="K90" s="2121"/>
      <c r="L90" s="2122"/>
      <c r="M90" s="2122"/>
      <c r="N90" s="2122"/>
      <c r="O90" s="2122"/>
      <c r="P90" s="2122"/>
      <c r="Q90" s="2123"/>
      <c r="R90" s="502" t="s">
        <v>1301</v>
      </c>
      <c r="U90" s="146"/>
      <c r="V90" s="146"/>
      <c r="W90" s="146"/>
      <c r="X90" s="146"/>
      <c r="Y90" s="146"/>
      <c r="Z90" s="146"/>
      <c r="AA90" s="146"/>
      <c r="AB90" s="146"/>
      <c r="AC90" s="146"/>
      <c r="AD90" s="146"/>
      <c r="AE90" s="529"/>
    </row>
    <row r="91" spans="1:31" ht="3" customHeight="1">
      <c r="A91" s="1810"/>
      <c r="B91" s="1822"/>
      <c r="C91" s="1814"/>
      <c r="D91" s="1814"/>
      <c r="E91" s="1814"/>
      <c r="F91" s="1814"/>
      <c r="G91" s="1814"/>
      <c r="H91" s="1814"/>
      <c r="I91" s="1814"/>
      <c r="J91" s="1814"/>
      <c r="K91" s="1814"/>
      <c r="L91" s="1814"/>
      <c r="M91" s="1814"/>
      <c r="N91" s="1814"/>
      <c r="O91" s="1814"/>
      <c r="P91" s="1814"/>
      <c r="Q91" s="1810"/>
    </row>
    <row r="92" spans="1:31" ht="13.9" customHeight="1">
      <c r="A92" s="1818">
        <v>5</v>
      </c>
      <c r="B92" s="1818" t="s">
        <v>2746</v>
      </c>
      <c r="C92" s="1818"/>
      <c r="D92" s="1814"/>
      <c r="E92" s="1814"/>
      <c r="F92" s="1814"/>
      <c r="G92" s="1814"/>
      <c r="H92" s="1814"/>
      <c r="I92" s="1814"/>
      <c r="J92" s="1814"/>
      <c r="K92" s="1814"/>
      <c r="O92" s="142" t="s">
        <v>1938</v>
      </c>
      <c r="P92" s="2106"/>
      <c r="Q92" s="2107"/>
    </row>
    <row r="93" spans="1:31" ht="3" customHeight="1"/>
    <row r="94" spans="1:31" ht="12" customHeight="1">
      <c r="B94" s="48" t="s">
        <v>2058</v>
      </c>
      <c r="C94" s="155" t="s">
        <v>2545</v>
      </c>
      <c r="D94" s="144"/>
      <c r="E94" s="144"/>
      <c r="F94" s="144"/>
      <c r="G94" s="144"/>
      <c r="H94" s="144"/>
      <c r="I94" s="43"/>
      <c r="J94" s="43"/>
      <c r="K94" s="43"/>
      <c r="L94" s="527" t="s">
        <v>2058</v>
      </c>
      <c r="M94" s="2918" t="s">
        <v>4405</v>
      </c>
      <c r="N94" s="2919"/>
      <c r="O94" s="2919"/>
      <c r="P94" s="2920"/>
      <c r="Q94" s="632"/>
    </row>
    <row r="95" spans="1:31" ht="12" customHeight="1">
      <c r="B95" s="48" t="s">
        <v>2061</v>
      </c>
      <c r="C95" s="54" t="s">
        <v>2113</v>
      </c>
      <c r="D95" s="144"/>
      <c r="E95" s="144"/>
      <c r="F95" s="144"/>
      <c r="L95" s="527" t="s">
        <v>2061</v>
      </c>
      <c r="M95" s="2921" t="s">
        <v>4406</v>
      </c>
      <c r="N95" s="2922"/>
      <c r="O95" s="2922"/>
      <c r="P95" s="2923"/>
      <c r="Q95" s="633"/>
    </row>
    <row r="96" spans="1:31" ht="12" customHeight="1">
      <c r="B96" s="48" t="s">
        <v>779</v>
      </c>
      <c r="C96" s="54" t="s">
        <v>3019</v>
      </c>
      <c r="D96" s="144"/>
      <c r="E96" s="144"/>
      <c r="F96" s="144"/>
      <c r="L96" s="527" t="s">
        <v>779</v>
      </c>
      <c r="M96" s="2924">
        <v>0.97899999999999998</v>
      </c>
      <c r="N96" s="2925"/>
      <c r="O96" s="2925"/>
      <c r="P96" s="2926"/>
      <c r="Q96" s="633"/>
    </row>
    <row r="97" spans="1:31" ht="12" customHeight="1">
      <c r="B97" s="48" t="s">
        <v>2193</v>
      </c>
      <c r="C97" s="54" t="s">
        <v>4053</v>
      </c>
      <c r="D97" s="144"/>
      <c r="E97" s="144"/>
      <c r="F97" s="144"/>
      <c r="L97" s="527" t="s">
        <v>2193</v>
      </c>
      <c r="M97" s="2927">
        <v>0.16200000000000001</v>
      </c>
      <c r="N97" s="2928"/>
      <c r="O97" s="2928"/>
      <c r="P97" s="2929"/>
      <c r="Q97" s="634"/>
    </row>
    <row r="98" spans="1:31" ht="12" customHeight="1">
      <c r="B98" s="152" t="s">
        <v>1801</v>
      </c>
      <c r="C98" s="2099" t="s">
        <v>3718</v>
      </c>
      <c r="D98" s="2099"/>
      <c r="E98" s="2099"/>
      <c r="F98" s="2099"/>
      <c r="G98" s="2099"/>
      <c r="H98" s="2099"/>
      <c r="I98" s="2099"/>
      <c r="J98" s="2099"/>
      <c r="K98" s="2099"/>
      <c r="L98" s="2099"/>
      <c r="M98" s="2099"/>
      <c r="N98" s="2099"/>
      <c r="O98" s="2099"/>
      <c r="P98" s="2099"/>
      <c r="Q98" s="2099"/>
    </row>
    <row r="99" spans="1:31" ht="12" customHeight="1">
      <c r="B99" s="48"/>
      <c r="C99" s="54"/>
      <c r="D99" s="1832" t="s">
        <v>2463</v>
      </c>
      <c r="E99" s="1220" t="s">
        <v>641</v>
      </c>
      <c r="F99" s="1220"/>
      <c r="H99" s="54"/>
      <c r="I99" s="1832" t="s">
        <v>2463</v>
      </c>
      <c r="J99" s="1220" t="s">
        <v>641</v>
      </c>
      <c r="K99" s="1220"/>
      <c r="M99" s="54"/>
      <c r="N99" s="1832" t="s">
        <v>2463</v>
      </c>
      <c r="O99" s="1220" t="s">
        <v>641</v>
      </c>
      <c r="P99" s="1220"/>
      <c r="Q99" s="527"/>
    </row>
    <row r="100" spans="1:31" ht="12" customHeight="1">
      <c r="B100" s="48"/>
      <c r="C100" s="54">
        <v>1</v>
      </c>
      <c r="D100" s="2930"/>
      <c r="E100" s="2931"/>
      <c r="F100" s="2931"/>
      <c r="G100" s="2931"/>
      <c r="H100" s="54">
        <v>3</v>
      </c>
      <c r="I100" s="2930"/>
      <c r="J100" s="2931"/>
      <c r="K100" s="2931"/>
      <c r="L100" s="2931"/>
      <c r="M100" s="54">
        <v>5</v>
      </c>
      <c r="N100" s="2930"/>
      <c r="O100" s="2931"/>
      <c r="P100" s="2931"/>
      <c r="Q100" s="2931"/>
    </row>
    <row r="101" spans="1:31" ht="12" customHeight="1">
      <c r="B101" s="48"/>
      <c r="C101" s="54">
        <v>2</v>
      </c>
      <c r="D101" s="2932"/>
      <c r="E101" s="2933"/>
      <c r="F101" s="2933"/>
      <c r="G101" s="2933"/>
      <c r="H101" s="54">
        <v>4</v>
      </c>
      <c r="I101" s="2932"/>
      <c r="J101" s="2933"/>
      <c r="K101" s="2933"/>
      <c r="L101" s="2933"/>
      <c r="M101" s="54">
        <v>6</v>
      </c>
      <c r="N101" s="2932"/>
      <c r="O101" s="2933"/>
      <c r="P101" s="2933"/>
      <c r="Q101" s="2933"/>
    </row>
    <row r="102" spans="1:31" ht="12" customHeight="1">
      <c r="B102" s="48" t="s">
        <v>1802</v>
      </c>
      <c r="C102" s="54" t="s">
        <v>0</v>
      </c>
      <c r="D102" s="144"/>
      <c r="E102" s="144"/>
      <c r="F102" s="144"/>
      <c r="G102" s="144"/>
      <c r="H102" s="144"/>
      <c r="I102" s="43"/>
      <c r="J102" s="43"/>
      <c r="K102" s="144"/>
      <c r="L102" s="1815"/>
      <c r="M102" s="1815"/>
      <c r="O102" s="527" t="s">
        <v>1802</v>
      </c>
      <c r="P102" s="2934" t="s">
        <v>3154</v>
      </c>
      <c r="Q102" s="640"/>
    </row>
    <row r="103" spans="1:31" ht="11.25" customHeight="1">
      <c r="B103" s="151" t="s">
        <v>1936</v>
      </c>
      <c r="D103" s="151"/>
      <c r="E103" s="151"/>
      <c r="F103" s="151"/>
      <c r="G103" s="151"/>
      <c r="H103" s="41"/>
      <c r="I103" s="1822"/>
      <c r="J103" s="1822"/>
      <c r="K103" s="1822"/>
      <c r="L103" s="1810"/>
      <c r="M103" s="1810"/>
      <c r="N103" s="1810"/>
      <c r="O103" s="1810"/>
      <c r="P103" s="1810"/>
      <c r="Q103" s="1219"/>
    </row>
    <row r="104" spans="1:31" ht="44.25" customHeight="1">
      <c r="A104" s="2900" t="s">
        <v>4407</v>
      </c>
      <c r="B104" s="2901"/>
      <c r="C104" s="2901"/>
      <c r="D104" s="2901"/>
      <c r="E104" s="2901"/>
      <c r="F104" s="2901"/>
      <c r="G104" s="2901"/>
      <c r="H104" s="2901"/>
      <c r="I104" s="2901"/>
      <c r="J104" s="2901"/>
      <c r="K104" s="2901"/>
      <c r="L104" s="2901"/>
      <c r="M104" s="2901"/>
      <c r="N104" s="2901"/>
      <c r="O104" s="2901"/>
      <c r="P104" s="2901"/>
      <c r="Q104" s="2902"/>
      <c r="U104" s="146"/>
      <c r="V104" s="146"/>
      <c r="W104" s="146"/>
      <c r="X104" s="146"/>
      <c r="Y104" s="146"/>
      <c r="Z104" s="146"/>
      <c r="AA104" s="146"/>
      <c r="AB104" s="146"/>
      <c r="AC104" s="146"/>
      <c r="AD104" s="146"/>
      <c r="AE104" s="529"/>
    </row>
    <row r="105" spans="1:31" ht="11.25" customHeight="1">
      <c r="B105" s="147" t="s">
        <v>1937</v>
      </c>
      <c r="C105" s="148"/>
      <c r="D105" s="1814"/>
      <c r="E105" s="1814"/>
      <c r="F105" s="1814"/>
      <c r="G105" s="1814"/>
      <c r="H105" s="1814"/>
      <c r="I105" s="1814"/>
      <c r="J105" s="1814"/>
      <c r="K105" s="1814"/>
      <c r="L105" s="1814"/>
      <c r="M105" s="1814"/>
      <c r="N105" s="1814"/>
      <c r="O105" s="1814"/>
      <c r="P105" s="1814"/>
      <c r="Q105" s="1814"/>
    </row>
    <row r="106" spans="1:31" ht="44.25" customHeight="1">
      <c r="A106" s="2121"/>
      <c r="B106" s="2122"/>
      <c r="C106" s="2122"/>
      <c r="D106" s="2122"/>
      <c r="E106" s="2122"/>
      <c r="F106" s="2122"/>
      <c r="G106" s="2122"/>
      <c r="H106" s="2122"/>
      <c r="I106" s="2122"/>
      <c r="J106" s="2122"/>
      <c r="K106" s="2122"/>
      <c r="L106" s="2122"/>
      <c r="M106" s="2122"/>
      <c r="N106" s="2122"/>
      <c r="O106" s="2122"/>
      <c r="P106" s="2122"/>
      <c r="Q106" s="2123"/>
    </row>
    <row r="107" spans="1:31" ht="13.9" customHeight="1">
      <c r="A107" s="1818">
        <v>6</v>
      </c>
      <c r="B107" s="1818" t="s">
        <v>2747</v>
      </c>
      <c r="C107" s="1818"/>
      <c r="D107" s="1814"/>
      <c r="E107" s="1814"/>
      <c r="F107" s="1814"/>
      <c r="G107" s="1814"/>
      <c r="H107" s="1814"/>
      <c r="I107" s="1814"/>
      <c r="J107" s="1814"/>
      <c r="K107" s="1814"/>
      <c r="L107" s="1814"/>
      <c r="M107" s="1814"/>
      <c r="O107" s="142" t="s">
        <v>1938</v>
      </c>
      <c r="P107" s="2106"/>
      <c r="Q107" s="2107"/>
    </row>
    <row r="108" spans="1:31" ht="3" customHeight="1"/>
    <row r="109" spans="1:31" ht="12" customHeight="1">
      <c r="B109" s="48" t="s">
        <v>2058</v>
      </c>
      <c r="C109" s="54" t="s">
        <v>511</v>
      </c>
      <c r="D109" s="54"/>
      <c r="E109" s="54"/>
      <c r="F109" s="54"/>
      <c r="G109" s="54"/>
      <c r="H109" s="54"/>
      <c r="I109" s="54"/>
      <c r="J109" s="54"/>
      <c r="K109" s="54"/>
      <c r="L109" s="54"/>
      <c r="M109" s="54"/>
      <c r="O109" s="527" t="s">
        <v>2058</v>
      </c>
      <c r="P109" s="2935" t="s">
        <v>3154</v>
      </c>
      <c r="Q109" s="632"/>
    </row>
    <row r="110" spans="1:31" ht="12" customHeight="1">
      <c r="B110" s="48" t="s">
        <v>2061</v>
      </c>
      <c r="C110" s="54" t="s">
        <v>1353</v>
      </c>
      <c r="D110" s="54"/>
      <c r="E110" s="54"/>
      <c r="F110" s="54"/>
      <c r="G110" s="54"/>
      <c r="H110" s="54"/>
      <c r="I110" s="54"/>
      <c r="J110" s="54"/>
      <c r="K110" s="54"/>
      <c r="L110" s="1220"/>
      <c r="M110" s="1220"/>
      <c r="O110" s="527" t="s">
        <v>2061</v>
      </c>
      <c r="P110" s="2936" t="s">
        <v>3154</v>
      </c>
      <c r="Q110" s="633"/>
    </row>
    <row r="111" spans="1:31" ht="12" customHeight="1">
      <c r="A111" s="143"/>
      <c r="B111" s="37"/>
      <c r="D111" s="40" t="s">
        <v>573</v>
      </c>
      <c r="E111" s="43"/>
      <c r="F111" s="43"/>
      <c r="G111" s="43"/>
      <c r="H111" s="43"/>
      <c r="I111" s="43"/>
      <c r="L111" s="70" t="s">
        <v>574</v>
      </c>
      <c r="M111" s="2915" t="s">
        <v>4373</v>
      </c>
      <c r="N111" s="2916"/>
      <c r="O111" s="2916"/>
      <c r="P111" s="2937"/>
      <c r="Q111" s="633"/>
    </row>
    <row r="112" spans="1:31">
      <c r="A112" s="154"/>
      <c r="B112" s="1822"/>
      <c r="C112" s="160" t="s">
        <v>1803</v>
      </c>
      <c r="D112" s="2138" t="s">
        <v>3731</v>
      </c>
      <c r="E112" s="2177"/>
      <c r="F112" s="2177"/>
      <c r="G112" s="2177"/>
      <c r="H112" s="2177"/>
      <c r="I112" s="2177"/>
      <c r="J112" s="2177"/>
      <c r="K112" s="2177"/>
      <c r="L112" s="2177"/>
      <c r="M112" s="2177"/>
      <c r="N112" s="2177"/>
      <c r="O112" s="160" t="s">
        <v>1803</v>
      </c>
      <c r="P112" s="2935" t="s">
        <v>3154</v>
      </c>
      <c r="Q112" s="633"/>
    </row>
    <row r="113" spans="1:32" ht="12" customHeight="1">
      <c r="A113" s="154"/>
      <c r="B113" s="1822"/>
      <c r="C113" s="70" t="s">
        <v>1804</v>
      </c>
      <c r="D113" s="2138" t="s">
        <v>3732</v>
      </c>
      <c r="E113" s="2177"/>
      <c r="F113" s="2177"/>
      <c r="G113" s="2177"/>
      <c r="H113" s="2177"/>
      <c r="I113" s="2177"/>
      <c r="J113" s="2177"/>
      <c r="K113" s="2177"/>
      <c r="L113" s="2177"/>
      <c r="M113" s="2177"/>
      <c r="N113" s="2177"/>
      <c r="O113" s="70" t="s">
        <v>1804</v>
      </c>
      <c r="P113" s="2938" t="s">
        <v>3154</v>
      </c>
      <c r="Q113" s="633"/>
    </row>
    <row r="114" spans="1:32" ht="12" customHeight="1">
      <c r="A114" s="154"/>
      <c r="B114" s="1822"/>
      <c r="C114" s="160" t="s">
        <v>1805</v>
      </c>
      <c r="D114" s="54" t="s">
        <v>3020</v>
      </c>
      <c r="E114" s="54"/>
      <c r="F114" s="54"/>
      <c r="G114" s="54"/>
      <c r="H114" s="54"/>
      <c r="I114" s="54"/>
      <c r="J114" s="54"/>
      <c r="K114" s="54"/>
      <c r="L114" s="54"/>
      <c r="M114" s="54"/>
      <c r="O114" s="160" t="s">
        <v>1805</v>
      </c>
      <c r="P114" s="2938" t="s">
        <v>3154</v>
      </c>
      <c r="Q114" s="633"/>
    </row>
    <row r="115" spans="1:32" s="143" customFormat="1" ht="24.75" customHeight="1">
      <c r="A115" s="154"/>
      <c r="B115" s="489"/>
      <c r="C115" s="174" t="s">
        <v>2448</v>
      </c>
      <c r="D115" s="2099" t="s">
        <v>2789</v>
      </c>
      <c r="E115" s="2099"/>
      <c r="F115" s="2099"/>
      <c r="G115" s="2099"/>
      <c r="H115" s="2099"/>
      <c r="I115" s="2099"/>
      <c r="J115" s="2099"/>
      <c r="K115" s="2099"/>
      <c r="L115" s="2099"/>
      <c r="M115" s="2099"/>
      <c r="N115" s="2099"/>
      <c r="O115" s="174" t="s">
        <v>2448</v>
      </c>
      <c r="P115" s="2939"/>
      <c r="Q115" s="636"/>
      <c r="AE115" s="530"/>
      <c r="AF115" s="530"/>
    </row>
    <row r="116" spans="1:32" ht="12" customHeight="1">
      <c r="B116" s="48" t="s">
        <v>779</v>
      </c>
      <c r="C116" s="54" t="s">
        <v>148</v>
      </c>
      <c r="D116" s="54"/>
      <c r="E116" s="54"/>
      <c r="F116" s="54"/>
      <c r="G116" s="54"/>
      <c r="H116" s="54"/>
      <c r="I116" s="54"/>
      <c r="J116" s="54"/>
      <c r="K116" s="54"/>
      <c r="L116" s="54"/>
      <c r="M116" s="54"/>
      <c r="O116" s="527" t="s">
        <v>779</v>
      </c>
      <c r="P116" s="2936" t="s">
        <v>3157</v>
      </c>
      <c r="Q116" s="634"/>
    </row>
    <row r="117" spans="1:32" ht="12" customHeight="1">
      <c r="B117" s="48" t="s">
        <v>2193</v>
      </c>
      <c r="C117" s="54" t="s">
        <v>1482</v>
      </c>
      <c r="D117" s="54"/>
      <c r="E117" s="54"/>
      <c r="G117" s="54"/>
      <c r="I117" s="54"/>
      <c r="K117" s="54"/>
      <c r="L117" s="1220"/>
      <c r="M117" s="1220"/>
      <c r="N117" s="1220"/>
      <c r="O117" s="1220"/>
      <c r="P117" s="1220"/>
      <c r="Q117" s="1220"/>
    </row>
    <row r="118" spans="1:32" ht="12" customHeight="1">
      <c r="B118" s="48"/>
      <c r="C118" s="70" t="s">
        <v>1803</v>
      </c>
      <c r="D118" s="54" t="s">
        <v>1483</v>
      </c>
      <c r="E118" s="54"/>
      <c r="F118" s="54"/>
      <c r="G118" s="54"/>
      <c r="H118" s="54"/>
      <c r="I118" s="54"/>
      <c r="J118" s="54"/>
      <c r="K118" s="54"/>
      <c r="L118" s="1220"/>
      <c r="M118" s="1220"/>
      <c r="O118" s="70" t="s">
        <v>1803</v>
      </c>
      <c r="P118" s="2935" t="s">
        <v>3157</v>
      </c>
      <c r="Q118" s="632"/>
    </row>
    <row r="119" spans="1:32" ht="12" customHeight="1">
      <c r="B119" s="48"/>
      <c r="C119" s="70" t="s">
        <v>1804</v>
      </c>
      <c r="D119" s="54" t="s">
        <v>1484</v>
      </c>
      <c r="E119" s="54"/>
      <c r="F119" s="54"/>
      <c r="G119" s="54"/>
      <c r="H119" s="54"/>
      <c r="I119" s="54"/>
      <c r="J119" s="54"/>
      <c r="K119" s="54"/>
      <c r="L119" s="1220"/>
      <c r="M119" s="1220"/>
      <c r="O119" s="70" t="s">
        <v>1804</v>
      </c>
      <c r="P119" s="2938" t="s">
        <v>3157</v>
      </c>
      <c r="Q119" s="633"/>
    </row>
    <row r="120" spans="1:32" ht="12" customHeight="1">
      <c r="B120" s="48"/>
      <c r="C120" s="70" t="s">
        <v>1805</v>
      </c>
      <c r="D120" s="54" t="s">
        <v>1485</v>
      </c>
      <c r="E120" s="54"/>
      <c r="F120" s="54"/>
      <c r="G120" s="54"/>
      <c r="H120" s="54"/>
      <c r="I120" s="54"/>
      <c r="J120" s="54"/>
      <c r="K120" s="54"/>
      <c r="L120" s="1220"/>
      <c r="M120" s="1220"/>
      <c r="O120" s="70" t="s">
        <v>1805</v>
      </c>
      <c r="P120" s="2936" t="s">
        <v>3157</v>
      </c>
      <c r="Q120" s="634"/>
    </row>
    <row r="121" spans="1:32" ht="11.25" customHeight="1">
      <c r="B121" s="151" t="s">
        <v>1936</v>
      </c>
      <c r="D121" s="151"/>
      <c r="E121" s="151"/>
      <c r="F121" s="151"/>
      <c r="G121" s="151"/>
      <c r="H121" s="41"/>
      <c r="I121" s="1822"/>
      <c r="J121" s="1822"/>
      <c r="K121" s="1822"/>
      <c r="L121" s="1810"/>
      <c r="M121" s="1810"/>
      <c r="N121" s="1810"/>
      <c r="O121" s="1810"/>
      <c r="P121" s="1810"/>
      <c r="Q121" s="1219"/>
    </row>
    <row r="122" spans="1:32" ht="24" customHeight="1">
      <c r="A122" s="2900" t="s">
        <v>4376</v>
      </c>
      <c r="B122" s="2901"/>
      <c r="C122" s="2901"/>
      <c r="D122" s="2901"/>
      <c r="E122" s="2901"/>
      <c r="F122" s="2901"/>
      <c r="G122" s="2901"/>
      <c r="H122" s="2901"/>
      <c r="I122" s="2901"/>
      <c r="J122" s="2901"/>
      <c r="K122" s="2901"/>
      <c r="L122" s="2901"/>
      <c r="M122" s="2901"/>
      <c r="N122" s="2901"/>
      <c r="O122" s="2901"/>
      <c r="P122" s="2901"/>
      <c r="Q122" s="2902"/>
      <c r="U122" s="146"/>
      <c r="V122" s="146"/>
      <c r="W122" s="146"/>
      <c r="X122" s="146"/>
      <c r="Y122" s="146"/>
      <c r="Z122" s="146"/>
      <c r="AA122" s="146"/>
      <c r="AB122" s="146"/>
      <c r="AC122" s="146"/>
      <c r="AD122" s="146"/>
      <c r="AE122" s="529"/>
    </row>
    <row r="123" spans="1:32" ht="11.25" customHeight="1">
      <c r="B123" s="147" t="s">
        <v>1937</v>
      </c>
      <c r="C123" s="148"/>
      <c r="D123" s="1814"/>
      <c r="E123" s="1814"/>
      <c r="F123" s="1814"/>
      <c r="G123" s="1814"/>
      <c r="H123" s="1814"/>
      <c r="I123" s="1814"/>
      <c r="J123" s="1814"/>
      <c r="K123" s="1814"/>
      <c r="L123" s="1814"/>
      <c r="M123" s="1814"/>
      <c r="N123" s="1814"/>
      <c r="O123" s="1814"/>
      <c r="P123" s="1814"/>
      <c r="Q123" s="1814"/>
    </row>
    <row r="124" spans="1:32" ht="24" customHeight="1">
      <c r="A124" s="2121"/>
      <c r="B124" s="2122"/>
      <c r="C124" s="2122"/>
      <c r="D124" s="2122"/>
      <c r="E124" s="2122"/>
      <c r="F124" s="2122"/>
      <c r="G124" s="2122"/>
      <c r="H124" s="2122"/>
      <c r="I124" s="2122"/>
      <c r="J124" s="2122"/>
      <c r="K124" s="2122"/>
      <c r="L124" s="2122"/>
      <c r="M124" s="2122"/>
      <c r="N124" s="2122"/>
      <c r="O124" s="2122"/>
      <c r="P124" s="2122"/>
      <c r="Q124" s="2123"/>
    </row>
    <row r="125" spans="1:32" ht="4.9000000000000004" customHeight="1">
      <c r="A125" s="1810"/>
      <c r="B125" s="1822"/>
      <c r="C125" s="1814"/>
      <c r="D125" s="1814"/>
      <c r="E125" s="1814"/>
      <c r="F125" s="1814"/>
      <c r="G125" s="1814"/>
      <c r="H125" s="1814"/>
      <c r="I125" s="1814"/>
      <c r="J125" s="1814"/>
      <c r="K125" s="1814"/>
      <c r="L125" s="1814"/>
      <c r="M125" s="1814"/>
      <c r="N125" s="1814"/>
      <c r="O125" s="1814"/>
      <c r="P125" s="1814"/>
      <c r="Q125" s="1810"/>
    </row>
    <row r="126" spans="1:32" ht="13.9" customHeight="1">
      <c r="A126" s="1818">
        <v>7</v>
      </c>
      <c r="B126" s="1818" t="s">
        <v>2748</v>
      </c>
      <c r="C126" s="41"/>
      <c r="D126" s="1814"/>
      <c r="E126" s="1814"/>
      <c r="F126" s="1814"/>
      <c r="G126" s="1814"/>
      <c r="H126" s="1814"/>
      <c r="I126" s="1814"/>
      <c r="J126" s="1814"/>
      <c r="K126" s="1814"/>
      <c r="L126" s="1814"/>
      <c r="M126" s="1814"/>
      <c r="O126" s="142" t="s">
        <v>1938</v>
      </c>
      <c r="P126" s="2106"/>
      <c r="Q126" s="2107"/>
    </row>
    <row r="127" spans="1:32" ht="6.6" customHeight="1"/>
    <row r="128" spans="1:32" ht="12" customHeight="1">
      <c r="B128" s="48" t="s">
        <v>2058</v>
      </c>
      <c r="C128" s="54" t="s">
        <v>4054</v>
      </c>
      <c r="D128" s="144"/>
      <c r="E128" s="144"/>
      <c r="F128" s="144"/>
      <c r="G128" s="144"/>
      <c r="H128" s="144"/>
      <c r="I128" s="43"/>
      <c r="J128" s="43"/>
      <c r="K128" s="43"/>
      <c r="L128" s="527" t="s">
        <v>2058</v>
      </c>
      <c r="M128" s="2940" t="s">
        <v>4408</v>
      </c>
      <c r="N128" s="2941"/>
      <c r="O128" s="2941"/>
      <c r="P128" s="2942"/>
      <c r="Q128" s="630"/>
    </row>
    <row r="129" spans="2:17" ht="12" customHeight="1">
      <c r="B129" s="48" t="s">
        <v>2061</v>
      </c>
      <c r="C129" s="54" t="s">
        <v>1595</v>
      </c>
      <c r="D129" s="144"/>
      <c r="E129" s="144"/>
      <c r="F129" s="144"/>
      <c r="G129" s="144"/>
      <c r="H129" s="144"/>
      <c r="I129" s="43"/>
      <c r="J129" s="43"/>
      <c r="K129" s="144"/>
      <c r="L129" s="144"/>
      <c r="M129" s="1815"/>
      <c r="O129" s="527" t="s">
        <v>2061</v>
      </c>
      <c r="P129" s="2935" t="s">
        <v>3157</v>
      </c>
      <c r="Q129" s="1348"/>
    </row>
    <row r="130" spans="2:17" ht="12" customHeight="1">
      <c r="B130" s="48" t="s">
        <v>779</v>
      </c>
      <c r="C130" s="54" t="s">
        <v>156</v>
      </c>
      <c r="D130" s="144"/>
      <c r="E130" s="144"/>
      <c r="F130" s="144"/>
      <c r="G130" s="144"/>
      <c r="H130" s="144"/>
      <c r="I130" s="43"/>
      <c r="J130" s="43"/>
      <c r="K130" s="144"/>
      <c r="L130" s="1815"/>
      <c r="M130" s="1815"/>
      <c r="O130" s="527" t="s">
        <v>779</v>
      </c>
      <c r="P130" s="2936" t="s">
        <v>3154</v>
      </c>
      <c r="Q130" s="1262"/>
    </row>
    <row r="131" spans="2:17" ht="12" customHeight="1">
      <c r="B131" s="48"/>
      <c r="C131" s="69" t="s">
        <v>1803</v>
      </c>
      <c r="D131" s="54" t="s">
        <v>2788</v>
      </c>
      <c r="E131" s="144"/>
      <c r="F131" s="144"/>
      <c r="G131" s="144"/>
      <c r="H131" s="144"/>
      <c r="I131" s="43"/>
      <c r="J131" s="43"/>
      <c r="K131" s="144"/>
      <c r="L131" s="70" t="s">
        <v>1803</v>
      </c>
      <c r="M131" s="2940" t="s">
        <v>4408</v>
      </c>
      <c r="N131" s="2941"/>
      <c r="O131" s="2941"/>
      <c r="P131" s="2942"/>
      <c r="Q131" s="630"/>
    </row>
    <row r="132" spans="2:17" ht="12" customHeight="1">
      <c r="B132" s="149"/>
      <c r="C132" s="70" t="s">
        <v>1804</v>
      </c>
      <c r="D132" s="37" t="s">
        <v>3733</v>
      </c>
      <c r="E132" s="43"/>
      <c r="F132" s="43"/>
      <c r="G132" s="43"/>
      <c r="H132" s="54"/>
      <c r="I132" s="43"/>
      <c r="J132" s="43"/>
      <c r="K132" s="144"/>
      <c r="L132" s="1815"/>
      <c r="M132" s="1815"/>
      <c r="O132" s="527" t="s">
        <v>1804</v>
      </c>
      <c r="P132" s="2934">
        <v>70.7</v>
      </c>
      <c r="Q132" s="640"/>
    </row>
    <row r="133" spans="2:17" ht="12" customHeight="1">
      <c r="B133" s="149"/>
      <c r="C133" s="527" t="s">
        <v>1805</v>
      </c>
      <c r="D133" s="54" t="s">
        <v>1433</v>
      </c>
      <c r="E133" s="43"/>
      <c r="F133" s="43"/>
      <c r="G133" s="43"/>
      <c r="H133" s="54"/>
      <c r="I133" s="43"/>
      <c r="J133" s="43"/>
      <c r="K133" s="144"/>
      <c r="L133" s="1815"/>
      <c r="M133" s="1815"/>
      <c r="N133" s="1815"/>
      <c r="O133" s="1815"/>
    </row>
    <row r="134" spans="2:17" ht="11.45" customHeight="1">
      <c r="B134" s="1810"/>
      <c r="C134" s="70"/>
      <c r="D134" s="2943" t="s">
        <v>4409</v>
      </c>
      <c r="E134" s="2944"/>
      <c r="F134" s="2944"/>
      <c r="G134" s="2944"/>
      <c r="H134" s="2944"/>
      <c r="I134" s="2944"/>
      <c r="J134" s="2944"/>
      <c r="K134" s="2944"/>
      <c r="L134" s="2944"/>
      <c r="M134" s="2944"/>
      <c r="N134" s="2944"/>
      <c r="O134" s="2944"/>
      <c r="P134" s="2944"/>
      <c r="Q134" s="2945"/>
    </row>
    <row r="135" spans="2:17" ht="12" customHeight="1">
      <c r="B135" s="48" t="s">
        <v>2193</v>
      </c>
      <c r="C135" s="54" t="s">
        <v>1307</v>
      </c>
      <c r="D135" s="144"/>
      <c r="E135" s="144"/>
      <c r="F135" s="144"/>
      <c r="G135" s="144"/>
      <c r="H135" s="144"/>
      <c r="I135" s="43"/>
      <c r="J135" s="43"/>
      <c r="K135" s="144"/>
      <c r="L135" s="1815"/>
      <c r="M135" s="1815"/>
      <c r="N135" s="1815"/>
      <c r="O135" s="527" t="s">
        <v>2193</v>
      </c>
    </row>
    <row r="136" spans="2:17" ht="12" customHeight="1">
      <c r="B136" s="48"/>
      <c r="C136" s="70" t="s">
        <v>1803</v>
      </c>
      <c r="D136" s="54" t="s">
        <v>154</v>
      </c>
      <c r="E136" s="144"/>
      <c r="F136" s="144"/>
      <c r="G136" s="144"/>
      <c r="H136" s="144"/>
      <c r="I136" s="43"/>
      <c r="J136" s="43"/>
      <c r="K136" s="144"/>
      <c r="L136" s="1815"/>
      <c r="M136" s="1815"/>
      <c r="O136" s="70" t="s">
        <v>1803</v>
      </c>
      <c r="P136" s="2935" t="s">
        <v>3157</v>
      </c>
      <c r="Q136" s="632"/>
    </row>
    <row r="137" spans="2:17" ht="12" customHeight="1">
      <c r="B137" s="48"/>
      <c r="C137" s="70" t="s">
        <v>1804</v>
      </c>
      <c r="D137" s="54" t="s">
        <v>1308</v>
      </c>
      <c r="E137" s="144"/>
      <c r="F137" s="144"/>
      <c r="G137" s="144"/>
      <c r="H137" s="43"/>
      <c r="I137" s="43"/>
      <c r="J137" s="43"/>
      <c r="K137" s="144"/>
      <c r="L137" s="1815"/>
      <c r="M137" s="1815"/>
      <c r="O137" s="70" t="s">
        <v>1804</v>
      </c>
      <c r="P137" s="2938" t="s">
        <v>3157</v>
      </c>
      <c r="Q137" s="633"/>
    </row>
    <row r="138" spans="2:17" ht="12" customHeight="1">
      <c r="B138" s="48"/>
      <c r="C138" s="70"/>
      <c r="D138" s="54" t="s">
        <v>2724</v>
      </c>
      <c r="E138" s="499" t="s">
        <v>2520</v>
      </c>
      <c r="F138" s="54" t="s">
        <v>2725</v>
      </c>
      <c r="G138" s="43"/>
      <c r="H138" s="54"/>
      <c r="I138" s="43"/>
      <c r="J138" s="43"/>
      <c r="K138" s="144"/>
      <c r="L138" s="1815"/>
      <c r="M138" s="1815"/>
      <c r="O138" s="499" t="s">
        <v>2520</v>
      </c>
      <c r="P138" s="2946"/>
      <c r="Q138" s="1142"/>
    </row>
    <row r="139" spans="2:17" ht="12" customHeight="1">
      <c r="B139" s="48"/>
      <c r="C139" s="70"/>
      <c r="E139" s="499" t="s">
        <v>2521</v>
      </c>
      <c r="F139" s="54" t="s">
        <v>2726</v>
      </c>
      <c r="G139" s="43"/>
      <c r="H139" s="54"/>
      <c r="I139" s="43"/>
      <c r="J139" s="43"/>
      <c r="K139" s="144"/>
      <c r="L139" s="1815"/>
      <c r="M139" s="1815"/>
      <c r="O139" s="499" t="s">
        <v>2521</v>
      </c>
      <c r="P139" s="2938"/>
      <c r="Q139" s="633"/>
    </row>
    <row r="140" spans="2:17" ht="12" customHeight="1">
      <c r="B140" s="48"/>
      <c r="C140" s="70"/>
      <c r="E140" s="499" t="s">
        <v>2522</v>
      </c>
      <c r="F140" s="54" t="s">
        <v>2727</v>
      </c>
      <c r="G140" s="43"/>
      <c r="H140" s="54"/>
      <c r="I140" s="43"/>
      <c r="J140" s="43"/>
      <c r="K140" s="144"/>
      <c r="L140" s="1815"/>
      <c r="M140" s="1815"/>
      <c r="O140" s="499" t="s">
        <v>2522</v>
      </c>
      <c r="P140" s="2938" t="s">
        <v>3157</v>
      </c>
      <c r="Q140" s="633"/>
    </row>
    <row r="141" spans="2:17" ht="12" customHeight="1">
      <c r="B141" s="48"/>
      <c r="C141" s="70" t="s">
        <v>1805</v>
      </c>
      <c r="D141" s="54" t="s">
        <v>1309</v>
      </c>
      <c r="E141" s="144"/>
      <c r="F141" s="144"/>
      <c r="G141" s="144"/>
      <c r="H141" s="54"/>
      <c r="I141" s="43"/>
      <c r="J141" s="43"/>
      <c r="K141" s="144"/>
      <c r="L141" s="1815"/>
      <c r="M141" s="1815"/>
      <c r="O141" s="70" t="s">
        <v>1805</v>
      </c>
      <c r="P141" s="2938"/>
      <c r="Q141" s="633"/>
    </row>
    <row r="142" spans="2:17" ht="12" customHeight="1">
      <c r="B142" s="48"/>
      <c r="C142" s="70"/>
      <c r="D142" s="54" t="s">
        <v>2724</v>
      </c>
      <c r="E142" s="499" t="s">
        <v>2520</v>
      </c>
      <c r="F142" s="54" t="s">
        <v>2728</v>
      </c>
      <c r="G142" s="43"/>
      <c r="H142" s="54"/>
      <c r="I142" s="43"/>
      <c r="J142" s="43"/>
      <c r="K142" s="144"/>
      <c r="L142" s="1815"/>
      <c r="O142" s="499" t="s">
        <v>2520</v>
      </c>
      <c r="P142" s="2946"/>
      <c r="Q142" s="1142"/>
    </row>
    <row r="143" spans="2:17" ht="12" customHeight="1">
      <c r="B143" s="48"/>
      <c r="C143" s="70"/>
      <c r="E143" s="499" t="s">
        <v>2521</v>
      </c>
      <c r="F143" s="54" t="s">
        <v>2729</v>
      </c>
      <c r="G143" s="43"/>
      <c r="H143" s="54"/>
      <c r="I143" s="43"/>
      <c r="J143" s="43"/>
      <c r="O143" s="499" t="s">
        <v>2521</v>
      </c>
      <c r="P143" s="2938"/>
      <c r="Q143" s="633"/>
    </row>
    <row r="144" spans="2:17" ht="12" customHeight="1">
      <c r="B144" s="48"/>
      <c r="C144" s="70"/>
      <c r="E144" s="499" t="s">
        <v>2522</v>
      </c>
      <c r="F144" s="54" t="s">
        <v>2727</v>
      </c>
      <c r="G144" s="43"/>
      <c r="H144" s="54"/>
      <c r="I144" s="43"/>
      <c r="J144" s="43"/>
      <c r="O144" s="499" t="s">
        <v>2522</v>
      </c>
      <c r="P144" s="2938"/>
      <c r="Q144" s="633"/>
    </row>
    <row r="145" spans="1:32" ht="12" customHeight="1">
      <c r="B145" s="37"/>
      <c r="C145" s="70" t="s">
        <v>2448</v>
      </c>
      <c r="D145" s="54" t="s">
        <v>2730</v>
      </c>
      <c r="E145" s="144"/>
      <c r="F145" s="144"/>
      <c r="G145" s="144"/>
      <c r="H145" s="144"/>
      <c r="I145" s="43"/>
      <c r="J145" s="43"/>
      <c r="O145" s="70" t="s">
        <v>2448</v>
      </c>
      <c r="P145" s="2936" t="s">
        <v>3157</v>
      </c>
      <c r="Q145" s="634"/>
    </row>
    <row r="146" spans="1:32" ht="12" customHeight="1">
      <c r="B146" s="48" t="s">
        <v>1801</v>
      </c>
      <c r="C146" s="156" t="s">
        <v>2499</v>
      </c>
      <c r="D146" s="144"/>
      <c r="E146" s="144"/>
      <c r="F146" s="144"/>
      <c r="G146" s="144"/>
      <c r="H146" s="144"/>
      <c r="I146" s="43"/>
      <c r="J146" s="43"/>
      <c r="K146" s="144"/>
      <c r="L146" s="1815"/>
      <c r="M146" s="1815"/>
      <c r="N146" s="1815"/>
      <c r="O146" s="1815"/>
      <c r="P146" s="1815"/>
      <c r="Q146" s="1815"/>
    </row>
    <row r="147" spans="1:32" ht="12" customHeight="1">
      <c r="C147" s="70" t="s">
        <v>1803</v>
      </c>
      <c r="D147" s="54" t="s">
        <v>2581</v>
      </c>
      <c r="E147" s="144"/>
      <c r="F147" s="2935" t="s">
        <v>3157</v>
      </c>
      <c r="G147" s="632"/>
      <c r="H147" s="70" t="s">
        <v>1606</v>
      </c>
      <c r="I147" s="57" t="s">
        <v>2732</v>
      </c>
      <c r="L147" s="2935" t="s">
        <v>3157</v>
      </c>
      <c r="M147" s="632"/>
      <c r="N147" s="527" t="s">
        <v>531</v>
      </c>
      <c r="O147" s="54" t="s">
        <v>1609</v>
      </c>
      <c r="P147" s="2935" t="s">
        <v>3157</v>
      </c>
      <c r="Q147" s="632"/>
    </row>
    <row r="148" spans="1:32" ht="12" customHeight="1">
      <c r="B148" s="37"/>
      <c r="C148" s="70" t="s">
        <v>1804</v>
      </c>
      <c r="D148" s="54" t="s">
        <v>2923</v>
      </c>
      <c r="E148" s="144"/>
      <c r="F148" s="2938" t="s">
        <v>3157</v>
      </c>
      <c r="G148" s="633"/>
      <c r="H148" s="70" t="s">
        <v>1607</v>
      </c>
      <c r="I148" s="57" t="s">
        <v>2733</v>
      </c>
      <c r="L148" s="2938" t="s">
        <v>3157</v>
      </c>
      <c r="M148" s="633"/>
      <c r="N148" s="527" t="s">
        <v>532</v>
      </c>
      <c r="O148" s="54" t="s">
        <v>1608</v>
      </c>
      <c r="P148" s="2938" t="s">
        <v>3157</v>
      </c>
      <c r="Q148" s="633"/>
    </row>
    <row r="149" spans="1:32" ht="12" customHeight="1">
      <c r="B149" s="37"/>
      <c r="C149" s="70" t="s">
        <v>1805</v>
      </c>
      <c r="D149" s="54" t="s">
        <v>2731</v>
      </c>
      <c r="E149" s="144"/>
      <c r="F149" s="2938" t="s">
        <v>3157</v>
      </c>
      <c r="G149" s="633"/>
      <c r="H149" s="527" t="s">
        <v>100</v>
      </c>
      <c r="I149" s="57" t="s">
        <v>2924</v>
      </c>
      <c r="L149" s="2938" t="s">
        <v>3154</v>
      </c>
      <c r="M149" s="633"/>
      <c r="N149" s="527" t="s">
        <v>2926</v>
      </c>
      <c r="O149" s="54" t="s">
        <v>1610</v>
      </c>
      <c r="P149" s="2936" t="s">
        <v>3157</v>
      </c>
      <c r="Q149" s="634"/>
    </row>
    <row r="150" spans="1:32" ht="12" customHeight="1">
      <c r="B150" s="37"/>
      <c r="C150" s="70" t="s">
        <v>2448</v>
      </c>
      <c r="D150" s="54" t="s">
        <v>2927</v>
      </c>
      <c r="E150" s="144"/>
      <c r="F150" s="2936" t="s">
        <v>3154</v>
      </c>
      <c r="G150" s="634"/>
      <c r="H150" s="527" t="s">
        <v>530</v>
      </c>
      <c r="I150" s="54" t="s">
        <v>2922</v>
      </c>
      <c r="L150" s="2936" t="s">
        <v>3154</v>
      </c>
      <c r="M150" s="634"/>
      <c r="O150" s="70"/>
    </row>
    <row r="151" spans="1:32" ht="12" customHeight="1">
      <c r="B151" s="37"/>
      <c r="C151" s="527" t="s">
        <v>3038</v>
      </c>
      <c r="D151" s="54" t="s">
        <v>2925</v>
      </c>
      <c r="E151" s="144"/>
      <c r="F151" s="144"/>
      <c r="G151" s="144"/>
      <c r="H151" s="144"/>
      <c r="I151" s="144"/>
      <c r="J151" s="144"/>
      <c r="K151" s="144"/>
      <c r="L151" s="144"/>
      <c r="M151" s="54"/>
      <c r="O151" s="70"/>
      <c r="P151" s="70"/>
    </row>
    <row r="152" spans="1:32" ht="12" customHeight="1">
      <c r="B152" s="37"/>
      <c r="D152" s="2915"/>
      <c r="E152" s="2916"/>
      <c r="F152" s="2916"/>
      <c r="G152" s="2916"/>
      <c r="H152" s="2916"/>
      <c r="I152" s="2916"/>
      <c r="J152" s="2916"/>
      <c r="K152" s="2916"/>
      <c r="L152" s="2916"/>
      <c r="M152" s="2916"/>
      <c r="N152" s="2916"/>
      <c r="O152" s="2916"/>
      <c r="P152" s="2917"/>
      <c r="Q152" s="630"/>
    </row>
    <row r="153" spans="1:32" ht="12" customHeight="1">
      <c r="B153" s="48" t="s">
        <v>1802</v>
      </c>
      <c r="C153" s="54" t="s">
        <v>3857</v>
      </c>
      <c r="D153" s="144"/>
      <c r="E153" s="144"/>
      <c r="F153" s="144"/>
      <c r="G153" s="144"/>
      <c r="H153" s="144"/>
      <c r="I153" s="43"/>
      <c r="J153" s="43"/>
      <c r="K153" s="144"/>
      <c r="L153" s="144"/>
      <c r="M153" s="1815"/>
    </row>
    <row r="154" spans="1:32" ht="12" customHeight="1">
      <c r="A154" s="154"/>
      <c r="B154" s="43"/>
      <c r="C154" s="70" t="s">
        <v>1803</v>
      </c>
      <c r="D154" s="54" t="s">
        <v>2928</v>
      </c>
      <c r="E154" s="144"/>
      <c r="F154" s="144"/>
      <c r="G154" s="144"/>
      <c r="H154" s="144"/>
      <c r="O154" s="70" t="s">
        <v>1803</v>
      </c>
      <c r="P154" s="2935" t="s">
        <v>3157</v>
      </c>
      <c r="Q154" s="632"/>
    </row>
    <row r="155" spans="1:32" ht="12" customHeight="1">
      <c r="A155" s="154"/>
      <c r="B155" s="1822"/>
      <c r="C155" s="70" t="s">
        <v>1804</v>
      </c>
      <c r="D155" s="54" t="s">
        <v>508</v>
      </c>
      <c r="E155" s="54"/>
      <c r="F155" s="54"/>
      <c r="G155" s="54"/>
      <c r="H155" s="54"/>
      <c r="I155" s="43"/>
      <c r="J155" s="43"/>
      <c r="K155" s="54"/>
      <c r="L155" s="54"/>
      <c r="M155" s="54"/>
      <c r="O155" s="70" t="s">
        <v>1804</v>
      </c>
      <c r="P155" s="2938" t="s">
        <v>3157</v>
      </c>
      <c r="Q155" s="633"/>
    </row>
    <row r="156" spans="1:32" ht="12" customHeight="1">
      <c r="A156" s="154"/>
      <c r="B156" s="1822"/>
      <c r="C156" s="70" t="s">
        <v>1805</v>
      </c>
      <c r="D156" s="54" t="s">
        <v>707</v>
      </c>
      <c r="E156" s="54"/>
      <c r="F156" s="54"/>
      <c r="G156" s="54"/>
      <c r="H156" s="54"/>
      <c r="I156" s="43"/>
      <c r="J156" s="43"/>
      <c r="K156" s="54"/>
      <c r="L156" s="54"/>
      <c r="M156" s="54"/>
      <c r="O156" s="70" t="s">
        <v>1805</v>
      </c>
      <c r="P156" s="2938" t="s">
        <v>3157</v>
      </c>
      <c r="Q156" s="633"/>
    </row>
    <row r="157" spans="1:32" ht="12" customHeight="1">
      <c r="B157" s="48" t="s">
        <v>2021</v>
      </c>
      <c r="C157" s="54" t="s">
        <v>1819</v>
      </c>
      <c r="D157" s="144"/>
      <c r="E157" s="144"/>
      <c r="F157" s="144"/>
      <c r="G157" s="144"/>
      <c r="H157" s="144"/>
      <c r="I157" s="43"/>
      <c r="J157" s="43"/>
      <c r="K157" s="144"/>
      <c r="L157" s="144"/>
      <c r="M157" s="1815"/>
      <c r="O157" s="527" t="s">
        <v>2021</v>
      </c>
      <c r="P157" s="2936"/>
      <c r="Q157" s="634"/>
    </row>
    <row r="158" spans="1:32" ht="12" customHeight="1">
      <c r="A158" s="460" t="s">
        <v>3719</v>
      </c>
      <c r="C158" s="54"/>
      <c r="D158" s="144"/>
      <c r="E158" s="144"/>
      <c r="F158" s="144"/>
      <c r="G158" s="144"/>
      <c r="H158" s="144"/>
      <c r="I158" s="43"/>
      <c r="J158" s="43"/>
      <c r="K158" s="144"/>
      <c r="L158" s="144"/>
      <c r="M158" s="1815"/>
      <c r="N158" s="1815"/>
      <c r="O158" s="1815"/>
      <c r="P158" s="1815"/>
      <c r="Q158" s="1815"/>
      <c r="R158" s="1815"/>
    </row>
    <row r="159" spans="1:32" s="1" customFormat="1" ht="23.45" customHeight="1">
      <c r="B159" s="152" t="s">
        <v>3560</v>
      </c>
      <c r="C159" s="2099" t="s">
        <v>153</v>
      </c>
      <c r="D159" s="2099"/>
      <c r="E159" s="2099"/>
      <c r="F159" s="2099"/>
      <c r="G159" s="2099"/>
      <c r="H159" s="2099"/>
      <c r="I159" s="2099"/>
      <c r="J159" s="2099"/>
      <c r="K159" s="2099"/>
      <c r="L159" s="2099"/>
      <c r="M159" s="174" t="s">
        <v>3560</v>
      </c>
      <c r="N159" s="2947" t="s">
        <v>1837</v>
      </c>
      <c r="O159" s="2948"/>
      <c r="P159" s="2125" t="s">
        <v>1837</v>
      </c>
      <c r="Q159" s="2126"/>
      <c r="AE159" s="5"/>
      <c r="AF159" s="5"/>
    </row>
    <row r="160" spans="1:32" s="1" customFormat="1" ht="12" customHeight="1">
      <c r="B160" s="48" t="s">
        <v>640</v>
      </c>
      <c r="C160" s="123" t="s">
        <v>1</v>
      </c>
      <c r="D160" s="1816"/>
      <c r="E160" s="1816"/>
      <c r="G160" s="527" t="s">
        <v>640</v>
      </c>
      <c r="H160" s="2943"/>
      <c r="I160" s="2944"/>
      <c r="J160" s="2944"/>
      <c r="K160" s="2944"/>
      <c r="L160" s="2944"/>
      <c r="M160" s="2944"/>
      <c r="N160" s="2944"/>
      <c r="O160" s="2944"/>
      <c r="P160" s="2945"/>
      <c r="Q160" s="629"/>
      <c r="AE160" s="5"/>
      <c r="AF160" s="5"/>
    </row>
    <row r="161" spans="1:32" s="1" customFormat="1" ht="12" customHeight="1">
      <c r="B161" s="48" t="s">
        <v>3561</v>
      </c>
      <c r="C161" s="1220" t="s">
        <v>1469</v>
      </c>
      <c r="D161" s="11"/>
      <c r="E161" s="11"/>
      <c r="F161" s="11"/>
      <c r="G161" s="7"/>
      <c r="H161" s="7"/>
      <c r="I161" s="1220"/>
      <c r="K161" s="7"/>
      <c r="L161" s="7"/>
      <c r="M161" s="7"/>
      <c r="O161" s="527" t="s">
        <v>3561</v>
      </c>
      <c r="P161" s="2896"/>
      <c r="Q161" s="629"/>
      <c r="AE161" s="5"/>
      <c r="AF161" s="5"/>
    </row>
    <row r="162" spans="1:32" ht="11.25" customHeight="1">
      <c r="B162" s="151" t="s">
        <v>1936</v>
      </c>
      <c r="D162" s="151"/>
      <c r="E162" s="151"/>
      <c r="F162" s="151"/>
      <c r="G162" s="151"/>
      <c r="H162" s="41"/>
      <c r="I162" s="1822"/>
      <c r="J162" s="1822"/>
      <c r="K162" s="1822"/>
      <c r="L162" s="1810"/>
      <c r="M162" s="1810"/>
      <c r="N162" s="1810"/>
      <c r="O162" s="1810"/>
      <c r="P162" s="1810"/>
      <c r="Q162" s="1219"/>
    </row>
    <row r="163" spans="1:32" ht="11.45" customHeight="1">
      <c r="A163" s="2900" t="s">
        <v>4410</v>
      </c>
      <c r="B163" s="2901"/>
      <c r="C163" s="2901"/>
      <c r="D163" s="2901"/>
      <c r="E163" s="2901"/>
      <c r="F163" s="2901"/>
      <c r="G163" s="2901"/>
      <c r="H163" s="2901"/>
      <c r="I163" s="2901"/>
      <c r="J163" s="2901"/>
      <c r="K163" s="2901"/>
      <c r="L163" s="2901"/>
      <c r="M163" s="2901"/>
      <c r="N163" s="2901"/>
      <c r="O163" s="2901"/>
      <c r="P163" s="2901"/>
      <c r="Q163" s="2902"/>
      <c r="R163" s="503" t="s">
        <v>1301</v>
      </c>
      <c r="S163" s="503"/>
      <c r="U163" s="146"/>
      <c r="V163" s="146"/>
      <c r="W163" s="146"/>
      <c r="X163" s="146"/>
      <c r="Y163" s="146"/>
      <c r="Z163" s="146"/>
      <c r="AA163" s="146"/>
      <c r="AB163" s="146"/>
      <c r="AC163" s="146"/>
      <c r="AD163" s="146"/>
      <c r="AE163" s="529"/>
    </row>
    <row r="164" spans="1:32" s="28" customFormat="1" ht="3" customHeight="1">
      <c r="C164" s="125"/>
      <c r="D164" s="125"/>
      <c r="R164" s="503"/>
      <c r="S164" s="503"/>
      <c r="AE164" s="125"/>
      <c r="AF164" s="125"/>
    </row>
    <row r="165" spans="1:32" ht="11.25" customHeight="1">
      <c r="B165" s="147" t="s">
        <v>1937</v>
      </c>
      <c r="C165" s="148"/>
      <c r="D165" s="1814"/>
      <c r="E165" s="1814"/>
      <c r="F165" s="1814"/>
      <c r="G165" s="1814"/>
      <c r="H165" s="1814"/>
      <c r="I165" s="1814"/>
      <c r="J165" s="1814"/>
      <c r="K165" s="1814"/>
      <c r="L165" s="1814"/>
      <c r="M165" s="1814"/>
      <c r="N165" s="1814"/>
      <c r="O165" s="1814"/>
      <c r="P165" s="1814"/>
      <c r="Q165" s="1814"/>
    </row>
    <row r="166" spans="1:32" ht="11.45" customHeight="1">
      <c r="A166" s="2121"/>
      <c r="B166" s="2122"/>
      <c r="C166" s="2122"/>
      <c r="D166" s="2122"/>
      <c r="E166" s="2122"/>
      <c r="F166" s="2122"/>
      <c r="G166" s="2122"/>
      <c r="H166" s="2122"/>
      <c r="I166" s="2122"/>
      <c r="J166" s="2122"/>
      <c r="K166" s="2122"/>
      <c r="L166" s="2122"/>
      <c r="M166" s="2122"/>
      <c r="N166" s="2122"/>
      <c r="O166" s="2122"/>
      <c r="P166" s="2122"/>
      <c r="Q166" s="2123"/>
    </row>
    <row r="167" spans="1:32" ht="3" customHeight="1">
      <c r="A167" s="1810"/>
      <c r="B167" s="1822"/>
      <c r="C167" s="1814"/>
      <c r="D167" s="1814"/>
      <c r="E167" s="1814"/>
      <c r="F167" s="1814"/>
      <c r="G167" s="1814"/>
      <c r="H167" s="1814"/>
      <c r="I167" s="1814"/>
      <c r="J167" s="1814"/>
      <c r="K167" s="1814"/>
      <c r="L167" s="1814"/>
      <c r="M167" s="1814"/>
      <c r="N167" s="1814"/>
      <c r="O167" s="1814"/>
      <c r="P167" s="1814"/>
      <c r="Q167" s="1810"/>
    </row>
    <row r="168" spans="1:32" ht="13.9" customHeight="1">
      <c r="A168" s="1818">
        <v>8</v>
      </c>
      <c r="B168" s="1818" t="s">
        <v>2749</v>
      </c>
      <c r="C168" s="1818"/>
      <c r="D168" s="1814"/>
      <c r="E168" s="1814"/>
      <c r="F168" s="1814"/>
      <c r="G168" s="1814"/>
      <c r="H168" s="1814"/>
      <c r="I168" s="1814"/>
      <c r="J168" s="1814"/>
      <c r="K168" s="1814"/>
      <c r="O168" s="142" t="s">
        <v>1938</v>
      </c>
      <c r="P168" s="2106"/>
      <c r="Q168" s="2107"/>
    </row>
    <row r="169" spans="1:32" ht="12" customHeight="1">
      <c r="B169" s="48" t="s">
        <v>2058</v>
      </c>
      <c r="C169" s="54" t="s">
        <v>3889</v>
      </c>
      <c r="D169" s="54"/>
      <c r="E169" s="54"/>
      <c r="F169" s="54"/>
      <c r="G169" s="54"/>
      <c r="I169" s="54" t="s">
        <v>2812</v>
      </c>
      <c r="K169" s="2949">
        <v>43084</v>
      </c>
      <c r="L169" s="2950"/>
      <c r="N169" s="54"/>
      <c r="O169" s="527" t="s">
        <v>2058</v>
      </c>
      <c r="P169" s="2896" t="s">
        <v>3154</v>
      </c>
      <c r="Q169" s="629"/>
    </row>
    <row r="170" spans="1:32" ht="12" customHeight="1">
      <c r="A170" s="149"/>
      <c r="B170" s="48" t="s">
        <v>2061</v>
      </c>
      <c r="C170" s="150" t="s">
        <v>155</v>
      </c>
      <c r="D170" s="150"/>
      <c r="E170" s="150"/>
      <c r="F170" s="150"/>
      <c r="G170" s="150"/>
      <c r="H170" s="150"/>
      <c r="M170" s="527" t="s">
        <v>2061</v>
      </c>
      <c r="N170" s="2951" t="s">
        <v>4374</v>
      </c>
      <c r="O170" s="2952"/>
      <c r="P170" s="2154" t="s">
        <v>1837</v>
      </c>
      <c r="Q170" s="2155"/>
    </row>
    <row r="171" spans="1:32" ht="12" customHeight="1">
      <c r="A171" s="149"/>
      <c r="B171" s="48" t="s">
        <v>779</v>
      </c>
      <c r="C171" s="150" t="s">
        <v>708</v>
      </c>
      <c r="D171" s="150"/>
      <c r="E171" s="150"/>
      <c r="F171" s="150"/>
      <c r="G171" s="150"/>
      <c r="H171" s="150"/>
      <c r="J171" s="527" t="s">
        <v>779</v>
      </c>
      <c r="K171" s="2915" t="s">
        <v>4296</v>
      </c>
      <c r="L171" s="2916"/>
      <c r="M171" s="2916"/>
      <c r="N171" s="2916"/>
      <c r="O171" s="2916"/>
      <c r="P171" s="2917"/>
      <c r="Q171" s="629"/>
    </row>
    <row r="172" spans="1:32" ht="12" customHeight="1">
      <c r="A172" s="149"/>
      <c r="B172" s="48" t="s">
        <v>2193</v>
      </c>
      <c r="C172" s="150" t="s">
        <v>3024</v>
      </c>
      <c r="D172" s="150"/>
      <c r="E172" s="150"/>
      <c r="F172" s="150"/>
      <c r="G172" s="150"/>
      <c r="H172" s="150"/>
      <c r="J172" s="527"/>
      <c r="K172" s="527"/>
      <c r="L172" s="527"/>
      <c r="M172" s="527"/>
      <c r="N172" s="527"/>
      <c r="O172" s="527" t="s">
        <v>2193</v>
      </c>
      <c r="P172" s="2896" t="s">
        <v>3154</v>
      </c>
      <c r="Q172" s="629"/>
    </row>
    <row r="173" spans="1:32" ht="12" customHeight="1">
      <c r="B173" s="151" t="s">
        <v>1936</v>
      </c>
      <c r="D173" s="151"/>
      <c r="E173" s="151"/>
      <c r="F173" s="151"/>
      <c r="G173" s="151"/>
      <c r="H173" s="41"/>
      <c r="I173" s="1822"/>
      <c r="J173" s="1822"/>
      <c r="K173" s="1822"/>
      <c r="L173" s="1810"/>
      <c r="M173" s="1810"/>
      <c r="N173" s="1810"/>
      <c r="O173" s="1810"/>
      <c r="P173" s="1810"/>
      <c r="Q173" s="1219"/>
    </row>
    <row r="174" spans="1:32" ht="11.45" customHeight="1">
      <c r="A174" s="2900" t="s">
        <v>4375</v>
      </c>
      <c r="B174" s="2901"/>
      <c r="C174" s="2901"/>
      <c r="D174" s="2901"/>
      <c r="E174" s="2901"/>
      <c r="F174" s="2901"/>
      <c r="G174" s="2901"/>
      <c r="H174" s="2901"/>
      <c r="I174" s="2901"/>
      <c r="J174" s="2901"/>
      <c r="K174" s="2901"/>
      <c r="L174" s="2901"/>
      <c r="M174" s="2901"/>
      <c r="N174" s="2901"/>
      <c r="O174" s="2901"/>
      <c r="P174" s="2901"/>
      <c r="Q174" s="2902"/>
      <c r="U174" s="146"/>
      <c r="V174" s="146"/>
      <c r="W174" s="146"/>
      <c r="X174" s="146"/>
      <c r="Y174" s="146"/>
      <c r="Z174" s="146"/>
      <c r="AA174" s="146"/>
      <c r="AB174" s="146"/>
      <c r="AC174" s="146"/>
      <c r="AD174" s="146"/>
      <c r="AE174" s="529"/>
    </row>
    <row r="175" spans="1:32" ht="12" customHeight="1">
      <c r="B175" s="147" t="s">
        <v>1937</v>
      </c>
      <c r="C175" s="148"/>
      <c r="D175" s="1814"/>
      <c r="E175" s="1814"/>
      <c r="F175" s="1814"/>
      <c r="G175" s="1814"/>
      <c r="H175" s="1814"/>
      <c r="I175" s="1814"/>
      <c r="J175" s="1814"/>
      <c r="K175" s="1814"/>
      <c r="L175" s="1814"/>
      <c r="M175" s="1814"/>
      <c r="N175" s="1814"/>
      <c r="O175" s="1814"/>
      <c r="P175" s="1814"/>
      <c r="Q175" s="1814"/>
    </row>
    <row r="176" spans="1:32" ht="11.45" customHeight="1">
      <c r="A176" s="2121"/>
      <c r="B176" s="2122"/>
      <c r="C176" s="2122"/>
      <c r="D176" s="2122"/>
      <c r="E176" s="2122"/>
      <c r="F176" s="2122"/>
      <c r="G176" s="2122"/>
      <c r="H176" s="2122"/>
      <c r="I176" s="2122"/>
      <c r="J176" s="2122"/>
      <c r="K176" s="2122"/>
      <c r="L176" s="2122"/>
      <c r="M176" s="2122"/>
      <c r="N176" s="2122"/>
      <c r="O176" s="2122"/>
      <c r="P176" s="2122"/>
      <c r="Q176" s="2123"/>
    </row>
    <row r="177" spans="1:31" ht="3" customHeight="1">
      <c r="A177" s="1810"/>
      <c r="B177" s="1822"/>
      <c r="C177" s="1814"/>
      <c r="D177" s="1814"/>
      <c r="E177" s="1814"/>
      <c r="F177" s="1814"/>
      <c r="G177" s="1814"/>
      <c r="H177" s="1814"/>
      <c r="I177" s="1814"/>
      <c r="J177" s="1814"/>
      <c r="K177" s="1814"/>
      <c r="L177" s="1814"/>
      <c r="M177" s="1814"/>
      <c r="Q177" s="1810"/>
    </row>
    <row r="178" spans="1:31" ht="13.9" customHeight="1">
      <c r="A178" s="1818">
        <v>9</v>
      </c>
      <c r="B178" s="1818" t="s">
        <v>2750</v>
      </c>
      <c r="C178" s="1818"/>
      <c r="D178" s="1814"/>
      <c r="E178" s="1814"/>
      <c r="F178" s="1814"/>
      <c r="G178" s="1814"/>
      <c r="H178" s="1814"/>
      <c r="I178" s="1814"/>
      <c r="J178" s="1814"/>
      <c r="K178" s="1814"/>
      <c r="L178" s="1814"/>
      <c r="M178" s="1814"/>
      <c r="O178" s="142" t="s">
        <v>1938</v>
      </c>
      <c r="P178" s="2106"/>
      <c r="Q178" s="2107"/>
    </row>
    <row r="179" spans="1:31" ht="21.75" customHeight="1">
      <c r="B179" s="152" t="s">
        <v>2058</v>
      </c>
      <c r="C179" s="2099" t="s">
        <v>4055</v>
      </c>
      <c r="D179" s="2099"/>
      <c r="E179" s="2099"/>
      <c r="F179" s="2099"/>
      <c r="G179" s="2099"/>
      <c r="H179" s="2099"/>
      <c r="I179" s="2099"/>
      <c r="J179" s="2099"/>
      <c r="K179" s="2099"/>
      <c r="L179" s="2099"/>
      <c r="M179" s="2099"/>
      <c r="N179" s="2099"/>
      <c r="O179" s="174" t="s">
        <v>2058</v>
      </c>
      <c r="P179" s="2935" t="s">
        <v>3154</v>
      </c>
      <c r="Q179" s="632"/>
    </row>
    <row r="180" spans="1:31" ht="22.15" customHeight="1">
      <c r="B180" s="152" t="s">
        <v>2061</v>
      </c>
      <c r="C180" s="2099" t="s">
        <v>4056</v>
      </c>
      <c r="D180" s="2099"/>
      <c r="E180" s="2099"/>
      <c r="F180" s="2099"/>
      <c r="G180" s="2099"/>
      <c r="H180" s="2099"/>
      <c r="I180" s="2099"/>
      <c r="J180" s="2099"/>
      <c r="K180" s="2099"/>
      <c r="L180" s="2099"/>
      <c r="M180" s="2099"/>
      <c r="N180" s="2099"/>
      <c r="O180" s="174" t="s">
        <v>2061</v>
      </c>
      <c r="P180" s="2938"/>
      <c r="Q180" s="633"/>
    </row>
    <row r="181" spans="1:31" ht="21.75" customHeight="1">
      <c r="B181" s="152" t="s">
        <v>779</v>
      </c>
      <c r="C181" s="2099" t="s">
        <v>2734</v>
      </c>
      <c r="D181" s="2099"/>
      <c r="E181" s="2099"/>
      <c r="F181" s="2099"/>
      <c r="G181" s="2099"/>
      <c r="H181" s="2099"/>
      <c r="I181" s="2099"/>
      <c r="J181" s="2099"/>
      <c r="K181" s="2099"/>
      <c r="L181" s="2099"/>
      <c r="M181" s="2099"/>
      <c r="N181" s="2099"/>
      <c r="O181" s="174" t="s">
        <v>779</v>
      </c>
      <c r="P181" s="2936"/>
      <c r="Q181" s="634"/>
    </row>
    <row r="182" spans="1:31" ht="12" customHeight="1">
      <c r="B182" s="151" t="s">
        <v>1936</v>
      </c>
      <c r="D182" s="151"/>
      <c r="E182" s="151"/>
      <c r="F182" s="151"/>
      <c r="G182" s="151"/>
      <c r="H182" s="41"/>
      <c r="I182" s="1822"/>
      <c r="J182" s="1822"/>
      <c r="K182" s="1822"/>
      <c r="L182" s="1810"/>
      <c r="M182" s="1810"/>
      <c r="N182" s="1810"/>
      <c r="O182" s="1810"/>
      <c r="P182" s="1810"/>
      <c r="Q182" s="1219"/>
    </row>
    <row r="183" spans="1:31" ht="11.45" customHeight="1">
      <c r="A183" s="2900" t="s">
        <v>4377</v>
      </c>
      <c r="B183" s="2901"/>
      <c r="C183" s="2901"/>
      <c r="D183" s="2901"/>
      <c r="E183" s="2901"/>
      <c r="F183" s="2901"/>
      <c r="G183" s="2901"/>
      <c r="H183" s="2901"/>
      <c r="I183" s="2901"/>
      <c r="J183" s="2901"/>
      <c r="K183" s="2901"/>
      <c r="L183" s="2901"/>
      <c r="M183" s="2901"/>
      <c r="N183" s="2901"/>
      <c r="O183" s="2901"/>
      <c r="P183" s="2901"/>
      <c r="Q183" s="2902"/>
      <c r="U183" s="146"/>
      <c r="V183" s="146"/>
      <c r="W183" s="146"/>
      <c r="X183" s="146"/>
      <c r="Y183" s="146"/>
      <c r="Z183" s="146"/>
      <c r="AA183" s="146"/>
      <c r="AB183" s="146"/>
      <c r="AC183" s="146"/>
      <c r="AD183" s="146"/>
      <c r="AE183" s="529"/>
    </row>
    <row r="184" spans="1:31" ht="12" customHeight="1">
      <c r="B184" s="147" t="s">
        <v>1937</v>
      </c>
      <c r="C184" s="148"/>
      <c r="D184" s="1814"/>
      <c r="E184" s="1814"/>
      <c r="F184" s="1814"/>
      <c r="G184" s="1814"/>
      <c r="H184" s="1814"/>
      <c r="I184" s="1814"/>
      <c r="J184" s="1814"/>
      <c r="K184" s="1814"/>
      <c r="L184" s="1814"/>
      <c r="M184" s="1814"/>
      <c r="N184" s="1814"/>
      <c r="O184" s="1814"/>
      <c r="P184" s="1814"/>
      <c r="Q184" s="1814"/>
    </row>
    <row r="185" spans="1:31" ht="11.45" customHeight="1">
      <c r="A185" s="2121"/>
      <c r="B185" s="2122"/>
      <c r="C185" s="2122"/>
      <c r="D185" s="2122"/>
      <c r="E185" s="2122"/>
      <c r="F185" s="2122"/>
      <c r="G185" s="2122"/>
      <c r="H185" s="2122"/>
      <c r="I185" s="2122"/>
      <c r="J185" s="2122"/>
      <c r="K185" s="2122"/>
      <c r="L185" s="2122"/>
      <c r="M185" s="2122"/>
      <c r="N185" s="2122"/>
      <c r="O185" s="2122"/>
      <c r="P185" s="2122"/>
      <c r="Q185" s="2123"/>
    </row>
    <row r="186" spans="1:31" ht="3" customHeight="1">
      <c r="B186" s="1822"/>
      <c r="C186" s="1814"/>
      <c r="D186" s="1814"/>
      <c r="E186" s="1814"/>
      <c r="F186" s="1814"/>
      <c r="G186" s="1814"/>
      <c r="H186" s="1814"/>
      <c r="I186" s="1814"/>
      <c r="J186" s="1814"/>
      <c r="K186" s="1814"/>
      <c r="L186" s="1814"/>
      <c r="M186" s="1814"/>
      <c r="N186" s="1814"/>
      <c r="O186" s="1814"/>
      <c r="P186" s="1814"/>
      <c r="Q186" s="1810"/>
    </row>
    <row r="187" spans="1:31" ht="13.9" customHeight="1">
      <c r="A187" s="1789">
        <v>10</v>
      </c>
      <c r="B187" s="2153" t="s">
        <v>2751</v>
      </c>
      <c r="C187" s="2153"/>
      <c r="D187" s="2153"/>
      <c r="O187" s="142" t="s">
        <v>1938</v>
      </c>
      <c r="P187" s="2106"/>
      <c r="Q187" s="2107"/>
    </row>
    <row r="188" spans="1:31" ht="12" customHeight="1">
      <c r="B188" s="152" t="s">
        <v>2058</v>
      </c>
      <c r="C188" s="1176" t="s">
        <v>485</v>
      </c>
      <c r="D188" s="1176"/>
      <c r="E188" s="1176"/>
      <c r="F188" s="1176"/>
      <c r="G188" s="1176"/>
      <c r="H188" s="1176"/>
      <c r="I188" s="1176"/>
      <c r="J188" s="1176"/>
      <c r="K188" s="1176"/>
      <c r="L188" s="1176"/>
      <c r="M188" s="1176"/>
      <c r="O188" s="174" t="s">
        <v>2058</v>
      </c>
      <c r="P188" s="2935" t="s">
        <v>3154</v>
      </c>
      <c r="Q188" s="632"/>
    </row>
    <row r="189" spans="1:31" ht="12" customHeight="1">
      <c r="B189" s="152" t="s">
        <v>2061</v>
      </c>
      <c r="C189" s="1176" t="s">
        <v>2735</v>
      </c>
      <c r="D189" s="1176"/>
      <c r="E189" s="1176"/>
      <c r="F189" s="1176"/>
      <c r="G189" s="1176"/>
      <c r="H189" s="1176"/>
      <c r="I189" s="1176"/>
      <c r="J189" s="1176"/>
      <c r="K189" s="1176"/>
      <c r="L189" s="1176"/>
      <c r="M189" s="1176"/>
      <c r="O189" s="174" t="s">
        <v>2061</v>
      </c>
      <c r="P189" s="2938" t="s">
        <v>3154</v>
      </c>
      <c r="Q189" s="633"/>
    </row>
    <row r="190" spans="1:31" ht="12" customHeight="1">
      <c r="B190" s="152" t="s">
        <v>779</v>
      </c>
      <c r="C190" s="1176" t="s">
        <v>2736</v>
      </c>
      <c r="D190" s="1176"/>
      <c r="E190" s="1176"/>
      <c r="F190" s="1176"/>
      <c r="G190" s="1176"/>
      <c r="H190" s="1176"/>
      <c r="I190" s="1176"/>
      <c r="J190" s="1176"/>
      <c r="K190" s="1176"/>
      <c r="L190" s="1176"/>
      <c r="M190" s="1176"/>
      <c r="O190" s="174" t="s">
        <v>779</v>
      </c>
      <c r="P190" s="2938" t="s">
        <v>3154</v>
      </c>
      <c r="Q190" s="633"/>
    </row>
    <row r="191" spans="1:31" ht="12" customHeight="1">
      <c r="B191" s="152"/>
      <c r="C191" s="1176" t="s">
        <v>2724</v>
      </c>
      <c r="D191" s="1176"/>
      <c r="E191" s="499" t="s">
        <v>1803</v>
      </c>
      <c r="F191" s="1176" t="s">
        <v>2737</v>
      </c>
      <c r="G191" s="1176"/>
      <c r="H191" s="1176"/>
      <c r="I191" s="1176"/>
      <c r="J191" s="1176"/>
      <c r="K191" s="1176"/>
      <c r="L191" s="1176"/>
      <c r="M191" s="1176"/>
      <c r="O191" s="499" t="s">
        <v>1803</v>
      </c>
      <c r="P191" s="2938" t="s">
        <v>3154</v>
      </c>
      <c r="Q191" s="633"/>
    </row>
    <row r="192" spans="1:31" ht="12" customHeight="1">
      <c r="B192" s="152"/>
      <c r="C192" s="1176"/>
      <c r="D192" s="1176"/>
      <c r="E192" s="499" t="s">
        <v>1804</v>
      </c>
      <c r="F192" s="1176" t="s">
        <v>2738</v>
      </c>
      <c r="G192" s="1176"/>
      <c r="H192" s="1176"/>
      <c r="I192" s="1176"/>
      <c r="J192" s="1176"/>
      <c r="K192" s="1176"/>
      <c r="L192" s="1176"/>
      <c r="M192" s="1176"/>
      <c r="O192" s="499" t="s">
        <v>1804</v>
      </c>
      <c r="P192" s="2938" t="s">
        <v>3154</v>
      </c>
      <c r="Q192" s="633"/>
    </row>
    <row r="193" spans="1:32" s="143" customFormat="1" ht="21.75" customHeight="1">
      <c r="B193" s="152"/>
      <c r="C193" s="1176"/>
      <c r="D193" s="1176"/>
      <c r="E193" s="174" t="s">
        <v>1805</v>
      </c>
      <c r="F193" s="2099" t="s">
        <v>3734</v>
      </c>
      <c r="G193" s="2099"/>
      <c r="H193" s="2099"/>
      <c r="I193" s="2099"/>
      <c r="J193" s="2099"/>
      <c r="K193" s="2099"/>
      <c r="L193" s="2099"/>
      <c r="M193" s="2099"/>
      <c r="N193" s="2099"/>
      <c r="O193" s="174" t="s">
        <v>1805</v>
      </c>
      <c r="P193" s="2939" t="s">
        <v>3154</v>
      </c>
      <c r="Q193" s="636"/>
      <c r="AE193" s="530"/>
      <c r="AF193" s="530"/>
    </row>
    <row r="194" spans="1:32" ht="12" customHeight="1">
      <c r="B194" s="152"/>
      <c r="C194" s="1176"/>
      <c r="D194" s="1176"/>
      <c r="E194" s="499" t="s">
        <v>2448</v>
      </c>
      <c r="F194" s="1176" t="s">
        <v>2739</v>
      </c>
      <c r="G194" s="1176"/>
      <c r="H194" s="1176"/>
      <c r="I194" s="1176"/>
      <c r="J194" s="1176"/>
      <c r="K194" s="1176"/>
      <c r="L194" s="1176"/>
      <c r="M194" s="1176"/>
      <c r="O194" s="499" t="s">
        <v>2448</v>
      </c>
      <c r="P194" s="2938" t="s">
        <v>3154</v>
      </c>
      <c r="Q194" s="633"/>
    </row>
    <row r="195" spans="1:32" s="143" customFormat="1" ht="21.75" customHeight="1">
      <c r="B195" s="152"/>
      <c r="C195" s="1176"/>
      <c r="D195" s="1176"/>
      <c r="E195" s="174" t="s">
        <v>1606</v>
      </c>
      <c r="F195" s="2099" t="s">
        <v>2740</v>
      </c>
      <c r="G195" s="2099"/>
      <c r="H195" s="2099"/>
      <c r="I195" s="2099"/>
      <c r="J195" s="2099"/>
      <c r="K195" s="2099"/>
      <c r="L195" s="2099"/>
      <c r="M195" s="2099"/>
      <c r="N195" s="2099"/>
      <c r="O195" s="174" t="s">
        <v>1606</v>
      </c>
      <c r="P195" s="2939"/>
      <c r="Q195" s="636"/>
      <c r="AE195" s="530"/>
      <c r="AF195" s="530"/>
    </row>
    <row r="196" spans="1:32" ht="21.75" customHeight="1">
      <c r="B196" s="152" t="s">
        <v>2193</v>
      </c>
      <c r="C196" s="2099" t="s">
        <v>2741</v>
      </c>
      <c r="D196" s="2099"/>
      <c r="E196" s="2099"/>
      <c r="F196" s="2099"/>
      <c r="G196" s="2099"/>
      <c r="H196" s="2099"/>
      <c r="I196" s="2099"/>
      <c r="J196" s="2099"/>
      <c r="K196" s="2099"/>
      <c r="L196" s="2099"/>
      <c r="M196" s="2099"/>
      <c r="N196" s="2099"/>
      <c r="O196" s="174" t="s">
        <v>2193</v>
      </c>
      <c r="P196" s="2938" t="s">
        <v>3154</v>
      </c>
      <c r="Q196" s="633"/>
    </row>
    <row r="197" spans="1:32" ht="12" customHeight="1">
      <c r="B197" s="152" t="s">
        <v>1801</v>
      </c>
      <c r="C197" s="1176" t="s">
        <v>2464</v>
      </c>
      <c r="D197" s="1176"/>
      <c r="E197" s="1176"/>
      <c r="F197" s="1176"/>
      <c r="G197" s="1176"/>
      <c r="H197" s="1176"/>
      <c r="I197" s="1176"/>
      <c r="J197" s="1176"/>
      <c r="K197" s="1176"/>
      <c r="L197" s="1176"/>
      <c r="M197" s="1176"/>
      <c r="O197" s="174" t="s">
        <v>1801</v>
      </c>
      <c r="P197" s="2936" t="s">
        <v>3154</v>
      </c>
      <c r="Q197" s="634"/>
    </row>
    <row r="198" spans="1:32" ht="12" customHeight="1">
      <c r="B198" s="151" t="s">
        <v>1936</v>
      </c>
      <c r="D198" s="151"/>
      <c r="E198" s="151"/>
      <c r="F198" s="151"/>
      <c r="G198" s="151"/>
      <c r="H198" s="41"/>
      <c r="I198" s="1822"/>
      <c r="J198" s="1822"/>
      <c r="K198" s="1822"/>
      <c r="L198" s="1810"/>
      <c r="M198" s="1810"/>
      <c r="N198" s="1810"/>
      <c r="O198" s="1810"/>
      <c r="P198" s="1810"/>
      <c r="Q198" s="1219"/>
    </row>
    <row r="199" spans="1:32" ht="11.45" customHeight="1">
      <c r="A199" s="2900" t="s">
        <v>4378</v>
      </c>
      <c r="B199" s="2901"/>
      <c r="C199" s="2901"/>
      <c r="D199" s="2901"/>
      <c r="E199" s="2901"/>
      <c r="F199" s="2901"/>
      <c r="G199" s="2901"/>
      <c r="H199" s="2901"/>
      <c r="I199" s="2901"/>
      <c r="J199" s="2901"/>
      <c r="K199" s="2901"/>
      <c r="L199" s="2901"/>
      <c r="M199" s="2901"/>
      <c r="N199" s="2901"/>
      <c r="O199" s="2901"/>
      <c r="P199" s="2901"/>
      <c r="Q199" s="2902"/>
      <c r="U199" s="146"/>
      <c r="V199" s="146"/>
      <c r="W199" s="146"/>
      <c r="X199" s="146"/>
      <c r="Y199" s="146"/>
      <c r="Z199" s="146"/>
      <c r="AA199" s="146"/>
      <c r="AB199" s="146"/>
      <c r="AC199" s="146"/>
      <c r="AD199" s="146"/>
      <c r="AE199" s="529"/>
    </row>
    <row r="200" spans="1:32" ht="12" customHeight="1">
      <c r="B200" s="147" t="s">
        <v>1937</v>
      </c>
      <c r="C200" s="148"/>
      <c r="D200" s="1814"/>
      <c r="E200" s="1814"/>
      <c r="F200" s="1814"/>
      <c r="G200" s="1814"/>
      <c r="H200" s="1814"/>
      <c r="I200" s="1814"/>
      <c r="J200" s="1814"/>
      <c r="K200" s="1814"/>
      <c r="L200" s="1814"/>
      <c r="M200" s="1814"/>
      <c r="N200" s="1814"/>
      <c r="O200" s="1814"/>
      <c r="P200" s="1814"/>
      <c r="Q200" s="1814"/>
    </row>
    <row r="201" spans="1:32" ht="11.45" customHeight="1">
      <c r="A201" s="2121"/>
      <c r="B201" s="2122"/>
      <c r="C201" s="2122"/>
      <c r="D201" s="2122"/>
      <c r="E201" s="2122"/>
      <c r="F201" s="2122"/>
      <c r="G201" s="2122"/>
      <c r="H201" s="2122"/>
      <c r="I201" s="2122"/>
      <c r="J201" s="2122"/>
      <c r="K201" s="2122"/>
      <c r="L201" s="2122"/>
      <c r="M201" s="2122"/>
      <c r="N201" s="2122"/>
      <c r="O201" s="2122"/>
      <c r="P201" s="2122"/>
      <c r="Q201" s="2123"/>
    </row>
    <row r="202" spans="1:32" ht="3" customHeight="1">
      <c r="A202" s="1810"/>
      <c r="B202" s="1822"/>
      <c r="C202" s="1814"/>
      <c r="D202" s="1814"/>
      <c r="E202" s="1814"/>
      <c r="F202" s="1814"/>
      <c r="G202" s="1814"/>
      <c r="H202" s="1814"/>
      <c r="I202" s="1814"/>
      <c r="J202" s="1814"/>
      <c r="K202" s="1814"/>
      <c r="L202" s="1814"/>
      <c r="M202" s="1814"/>
      <c r="N202" s="1814"/>
      <c r="O202" s="1814"/>
      <c r="P202" s="1814"/>
      <c r="Q202" s="1810"/>
    </row>
    <row r="203" spans="1:32" ht="13.9" customHeight="1">
      <c r="A203" s="1818">
        <v>11</v>
      </c>
      <c r="B203" s="1818" t="s">
        <v>2752</v>
      </c>
      <c r="C203" s="1818"/>
      <c r="D203" s="1814"/>
      <c r="E203" s="157"/>
      <c r="F203" s="157"/>
      <c r="G203" s="1814"/>
      <c r="J203" s="1221"/>
      <c r="K203" s="566"/>
      <c r="L203" s="566"/>
      <c r="M203" s="566"/>
      <c r="N203" s="566"/>
      <c r="O203" s="142" t="s">
        <v>1938</v>
      </c>
      <c r="P203" s="2106"/>
      <c r="Q203" s="2107"/>
    </row>
    <row r="204" spans="1:32" ht="12" customHeight="1">
      <c r="A204" s="149"/>
      <c r="B204" s="48" t="s">
        <v>2058</v>
      </c>
      <c r="C204" s="2099" t="s">
        <v>99</v>
      </c>
      <c r="D204" s="2099"/>
      <c r="E204" s="2099"/>
      <c r="F204" s="2099"/>
      <c r="G204" s="2099"/>
      <c r="H204" s="70" t="s">
        <v>1803</v>
      </c>
      <c r="I204" s="54" t="s">
        <v>157</v>
      </c>
      <c r="K204" s="2918" t="s">
        <v>4379</v>
      </c>
      <c r="L204" s="2919"/>
      <c r="M204" s="2919"/>
      <c r="N204" s="2953"/>
      <c r="O204" s="70" t="s">
        <v>1803</v>
      </c>
      <c r="P204" s="2935" t="s">
        <v>3154</v>
      </c>
      <c r="Q204" s="632"/>
    </row>
    <row r="205" spans="1:32" ht="12" customHeight="1">
      <c r="A205" s="149"/>
      <c r="B205" s="1822"/>
      <c r="C205" s="110"/>
      <c r="D205" s="110"/>
      <c r="E205" s="110"/>
      <c r="F205" s="110"/>
      <c r="H205" s="70" t="s">
        <v>1804</v>
      </c>
      <c r="I205" s="54" t="s">
        <v>1653</v>
      </c>
      <c r="K205" s="2954" t="s">
        <v>4380</v>
      </c>
      <c r="L205" s="2955"/>
      <c r="M205" s="2955"/>
      <c r="N205" s="2956"/>
      <c r="O205" s="70" t="s">
        <v>1804</v>
      </c>
      <c r="P205" s="2936" t="s">
        <v>3154</v>
      </c>
      <c r="Q205" s="634"/>
    </row>
    <row r="206" spans="1:32" ht="12" customHeight="1">
      <c r="B206" s="151" t="s">
        <v>1936</v>
      </c>
      <c r="D206" s="151"/>
      <c r="E206" s="151"/>
      <c r="F206" s="151"/>
      <c r="G206" s="151"/>
      <c r="J206" s="1822"/>
      <c r="K206" s="1822"/>
      <c r="L206" s="1810"/>
      <c r="M206" s="1810"/>
      <c r="N206" s="1810"/>
      <c r="O206" s="1810"/>
      <c r="P206" s="1810"/>
      <c r="Q206" s="1219"/>
    </row>
    <row r="207" spans="1:32" ht="11.45" customHeight="1">
      <c r="A207" s="2900" t="s">
        <v>4381</v>
      </c>
      <c r="B207" s="2901"/>
      <c r="C207" s="2901"/>
      <c r="D207" s="2901"/>
      <c r="E207" s="2901"/>
      <c r="F207" s="2901"/>
      <c r="G207" s="2901"/>
      <c r="H207" s="2901"/>
      <c r="I207" s="2901"/>
      <c r="J207" s="2901"/>
      <c r="K207" s="2901"/>
      <c r="L207" s="2901"/>
      <c r="M207" s="2901"/>
      <c r="N207" s="2901"/>
      <c r="O207" s="2901"/>
      <c r="P207" s="2901"/>
      <c r="Q207" s="2902"/>
      <c r="U207" s="146"/>
      <c r="V207" s="146"/>
      <c r="W207" s="146"/>
      <c r="X207" s="146"/>
      <c r="Y207" s="146"/>
      <c r="Z207" s="146"/>
      <c r="AA207" s="146"/>
      <c r="AB207" s="146"/>
      <c r="AC207" s="146"/>
      <c r="AD207" s="146"/>
      <c r="AE207" s="529"/>
    </row>
    <row r="208" spans="1:32" ht="12" customHeight="1">
      <c r="B208" s="147" t="s">
        <v>1937</v>
      </c>
      <c r="C208" s="148"/>
      <c r="D208" s="1814"/>
      <c r="E208" s="1814"/>
      <c r="F208" s="1814"/>
      <c r="G208" s="1814"/>
      <c r="H208" s="1814"/>
      <c r="I208" s="1814"/>
      <c r="J208" s="1814"/>
      <c r="K208" s="1814"/>
      <c r="L208" s="1814"/>
      <c r="M208" s="1814"/>
      <c r="N208" s="1814"/>
      <c r="O208" s="1814"/>
      <c r="P208" s="1814"/>
      <c r="Q208" s="1814"/>
    </row>
    <row r="209" spans="1:31" ht="11.45" customHeight="1">
      <c r="A209" s="2121"/>
      <c r="B209" s="2122"/>
      <c r="C209" s="2122"/>
      <c r="D209" s="2122"/>
      <c r="E209" s="2122"/>
      <c r="F209" s="2122"/>
      <c r="G209" s="2122"/>
      <c r="H209" s="2122"/>
      <c r="I209" s="2122"/>
      <c r="J209" s="2122"/>
      <c r="K209" s="2122"/>
      <c r="L209" s="2122"/>
      <c r="M209" s="2122"/>
      <c r="N209" s="2122"/>
      <c r="O209" s="2122"/>
      <c r="P209" s="2122"/>
      <c r="Q209" s="2123"/>
    </row>
    <row r="210" spans="1:31" ht="4.1500000000000004" customHeight="1">
      <c r="B210" s="1822"/>
      <c r="C210" s="1814"/>
      <c r="D210" s="1814"/>
      <c r="E210" s="1814"/>
      <c r="F210" s="1814"/>
      <c r="G210" s="1814"/>
      <c r="H210" s="1814"/>
      <c r="I210" s="1814"/>
      <c r="J210" s="1814"/>
      <c r="K210" s="1814"/>
      <c r="L210" s="1814"/>
      <c r="M210" s="1814"/>
      <c r="Q210" s="1219"/>
    </row>
    <row r="211" spans="1:31" ht="13.9" customHeight="1">
      <c r="A211" s="1818">
        <v>12</v>
      </c>
      <c r="B211" s="4" t="s">
        <v>2753</v>
      </c>
      <c r="C211" s="4"/>
      <c r="D211" s="92"/>
      <c r="E211" s="92"/>
      <c r="F211" s="92"/>
      <c r="G211" s="1814"/>
      <c r="H211" s="1814"/>
      <c r="I211" s="1814"/>
      <c r="J211" s="1814"/>
      <c r="K211" s="1814"/>
      <c r="L211" s="1814"/>
      <c r="M211" s="1814"/>
      <c r="O211" s="142" t="s">
        <v>1938</v>
      </c>
      <c r="P211" s="2106"/>
      <c r="Q211" s="2107"/>
    </row>
    <row r="212" spans="1:31" ht="4.1500000000000004" customHeight="1"/>
    <row r="213" spans="1:31" ht="11.45" customHeight="1">
      <c r="B213" s="152" t="s">
        <v>2058</v>
      </c>
      <c r="C213" s="609" t="s">
        <v>1803</v>
      </c>
      <c r="D213" s="455" t="s">
        <v>533</v>
      </c>
      <c r="E213" s="455"/>
      <c r="F213" s="455"/>
      <c r="G213" s="455"/>
      <c r="H213" s="455"/>
      <c r="I213" s="455"/>
      <c r="J213" s="455"/>
      <c r="K213" s="455"/>
      <c r="L213" s="455"/>
      <c r="M213" s="455"/>
      <c r="N213" s="455"/>
      <c r="O213" s="174" t="s">
        <v>1543</v>
      </c>
      <c r="P213" s="2935" t="s">
        <v>3157</v>
      </c>
      <c r="Q213" s="632"/>
    </row>
    <row r="214" spans="1:31" ht="11.45" customHeight="1">
      <c r="B214" s="152"/>
      <c r="C214" s="609" t="s">
        <v>1804</v>
      </c>
      <c r="D214" s="455" t="s">
        <v>1523</v>
      </c>
      <c r="E214" s="455"/>
      <c r="F214" s="455"/>
      <c r="G214" s="455"/>
      <c r="H214" s="455"/>
      <c r="I214" s="455"/>
      <c r="J214" s="455"/>
      <c r="K214" s="455"/>
      <c r="L214" s="455"/>
      <c r="M214" s="455"/>
      <c r="N214" s="455"/>
      <c r="O214" s="174" t="s">
        <v>1804</v>
      </c>
      <c r="P214" s="2938"/>
      <c r="Q214" s="633"/>
    </row>
    <row r="215" spans="1:31" ht="11.45" customHeight="1">
      <c r="A215" s="149"/>
      <c r="B215" s="152" t="s">
        <v>2061</v>
      </c>
      <c r="C215" s="2099" t="s">
        <v>1919</v>
      </c>
      <c r="D215" s="2099"/>
      <c r="E215" s="2099"/>
      <c r="F215" s="2099"/>
      <c r="G215" s="2099"/>
      <c r="H215" s="70" t="s">
        <v>1803</v>
      </c>
      <c r="I215" s="54" t="s">
        <v>659</v>
      </c>
      <c r="K215" s="2918" t="s">
        <v>4101</v>
      </c>
      <c r="L215" s="2919"/>
      <c r="M215" s="2919"/>
      <c r="N215" s="2953"/>
      <c r="O215" s="70" t="s">
        <v>1502</v>
      </c>
      <c r="P215" s="2938" t="s">
        <v>3154</v>
      </c>
      <c r="Q215" s="633"/>
    </row>
    <row r="216" spans="1:31" ht="11.45" customHeight="1">
      <c r="A216" s="149"/>
      <c r="B216" s="161"/>
      <c r="C216" s="2099"/>
      <c r="D216" s="2099"/>
      <c r="E216" s="2099"/>
      <c r="F216" s="2099"/>
      <c r="G216" s="2099"/>
      <c r="H216" s="70" t="s">
        <v>1804</v>
      </c>
      <c r="I216" s="54" t="s">
        <v>118</v>
      </c>
      <c r="K216" s="2954" t="s">
        <v>4101</v>
      </c>
      <c r="L216" s="2955"/>
      <c r="M216" s="2955"/>
      <c r="N216" s="2956"/>
      <c r="O216" s="70" t="s">
        <v>1804</v>
      </c>
      <c r="P216" s="2936" t="s">
        <v>3154</v>
      </c>
      <c r="Q216" s="634"/>
    </row>
    <row r="217" spans="1:31" ht="11.25" customHeight="1">
      <c r="B217" s="151" t="s">
        <v>1936</v>
      </c>
      <c r="D217" s="151"/>
      <c r="E217" s="151"/>
      <c r="F217" s="151"/>
      <c r="G217" s="151"/>
      <c r="H217" s="41"/>
      <c r="I217" s="1822"/>
      <c r="J217" s="1822"/>
      <c r="K217" s="1822"/>
      <c r="L217" s="1810"/>
      <c r="M217" s="1810"/>
      <c r="N217" s="1810"/>
      <c r="O217" s="1810"/>
      <c r="P217" s="1810"/>
      <c r="Q217" s="1219"/>
    </row>
    <row r="218" spans="1:31" ht="11.45" customHeight="1">
      <c r="A218" s="2900" t="s">
        <v>4382</v>
      </c>
      <c r="B218" s="2901"/>
      <c r="C218" s="2901"/>
      <c r="D218" s="2901"/>
      <c r="E218" s="2901"/>
      <c r="F218" s="2901"/>
      <c r="G218" s="2901"/>
      <c r="H218" s="2901"/>
      <c r="I218" s="2901"/>
      <c r="J218" s="2901"/>
      <c r="K218" s="2901"/>
      <c r="L218" s="2901"/>
      <c r="M218" s="2901"/>
      <c r="N218" s="2901"/>
      <c r="O218" s="2901"/>
      <c r="P218" s="2901"/>
      <c r="Q218" s="2902"/>
      <c r="U218" s="146"/>
      <c r="V218" s="146"/>
      <c r="W218" s="146"/>
      <c r="X218" s="146"/>
      <c r="Y218" s="146"/>
      <c r="Z218" s="146"/>
      <c r="AA218" s="146"/>
      <c r="AB218" s="146"/>
      <c r="AC218" s="146"/>
      <c r="AD218" s="146"/>
      <c r="AE218" s="529"/>
    </row>
    <row r="219" spans="1:31" ht="11.25" customHeight="1">
      <c r="B219" s="147" t="s">
        <v>1937</v>
      </c>
      <c r="C219" s="148"/>
      <c r="D219" s="1814"/>
      <c r="E219" s="1814"/>
      <c r="F219" s="1814"/>
      <c r="G219" s="1814"/>
      <c r="H219" s="1814"/>
      <c r="I219" s="1814"/>
      <c r="J219" s="1814"/>
      <c r="K219" s="1814"/>
      <c r="L219" s="1814"/>
      <c r="M219" s="1814"/>
      <c r="N219" s="1814"/>
      <c r="O219" s="1814"/>
      <c r="P219" s="1814"/>
      <c r="Q219" s="1814"/>
    </row>
    <row r="220" spans="1:31" ht="11.45" customHeight="1">
      <c r="A220" s="2121"/>
      <c r="B220" s="2122"/>
      <c r="C220" s="2122"/>
      <c r="D220" s="2122"/>
      <c r="E220" s="2122"/>
      <c r="F220" s="2122"/>
      <c r="G220" s="2122"/>
      <c r="H220" s="2122"/>
      <c r="I220" s="2122"/>
      <c r="J220" s="2122"/>
      <c r="K220" s="2122"/>
      <c r="L220" s="2122"/>
      <c r="M220" s="2122"/>
      <c r="N220" s="2122"/>
      <c r="O220" s="2122"/>
      <c r="P220" s="2122"/>
      <c r="Q220" s="2123"/>
    </row>
    <row r="221" spans="1:31" ht="3" customHeight="1">
      <c r="A221" s="1810"/>
      <c r="B221" s="1822"/>
      <c r="C221" s="1814"/>
      <c r="D221" s="1814"/>
      <c r="E221" s="1814"/>
      <c r="F221" s="1814"/>
      <c r="G221" s="1814"/>
      <c r="H221" s="1814"/>
      <c r="I221" s="1814"/>
      <c r="J221" s="1814"/>
      <c r="K221" s="1814"/>
      <c r="L221" s="1814"/>
      <c r="M221" s="1814"/>
      <c r="Q221" s="1810"/>
    </row>
    <row r="222" spans="1:31" ht="13.9" customHeight="1">
      <c r="A222" s="1818">
        <v>13</v>
      </c>
      <c r="B222" s="4" t="s">
        <v>2754</v>
      </c>
      <c r="C222" s="4"/>
      <c r="D222" s="92"/>
      <c r="E222" s="92"/>
      <c r="F222" s="92"/>
      <c r="G222" s="92"/>
      <c r="H222" s="1814"/>
      <c r="I222" s="1814"/>
      <c r="J222" s="1814"/>
      <c r="K222" s="1814"/>
      <c r="L222" s="1814"/>
      <c r="M222" s="1814"/>
      <c r="O222" s="142" t="s">
        <v>1938</v>
      </c>
      <c r="P222" s="2106"/>
      <c r="Q222" s="2107"/>
    </row>
    <row r="223" spans="1:31" ht="10.9" customHeight="1">
      <c r="B223" s="155" t="s">
        <v>149</v>
      </c>
    </row>
    <row r="224" spans="1:31" ht="11.45" customHeight="1">
      <c r="B224" s="48" t="s">
        <v>2058</v>
      </c>
      <c r="C224" s="54" t="s">
        <v>3063</v>
      </c>
      <c r="D224" s="43"/>
      <c r="E224" s="54"/>
      <c r="F224" s="54"/>
      <c r="G224" s="54"/>
      <c r="H224" s="54"/>
      <c r="I224" s="43"/>
      <c r="J224" s="43"/>
      <c r="K224" s="43"/>
      <c r="L224" s="1176"/>
      <c r="M224" s="1176"/>
      <c r="O224" s="174" t="s">
        <v>2058</v>
      </c>
      <c r="P224" s="2896" t="s">
        <v>3154</v>
      </c>
      <c r="Q224" s="629"/>
    </row>
    <row r="225" spans="1:32" ht="11.45" customHeight="1">
      <c r="B225" s="48"/>
      <c r="C225" s="54"/>
      <c r="D225" s="37" t="s">
        <v>3048</v>
      </c>
      <c r="E225" s="54"/>
      <c r="F225" s="54"/>
      <c r="G225" s="2957">
        <v>42170</v>
      </c>
      <c r="H225" s="2958"/>
      <c r="L225" s="2105" t="s">
        <v>3853</v>
      </c>
      <c r="M225" s="2957">
        <v>42502</v>
      </c>
      <c r="N225" s="2958"/>
    </row>
    <row r="226" spans="1:32" ht="11.45" customHeight="1">
      <c r="B226" s="48"/>
      <c r="C226" s="54"/>
      <c r="D226" s="57" t="s">
        <v>3050</v>
      </c>
      <c r="E226" s="54"/>
      <c r="F226" s="54"/>
      <c r="G226" s="2959" t="s">
        <v>4383</v>
      </c>
      <c r="H226" s="2960"/>
      <c r="I226" s="2916"/>
      <c r="J226" s="2916"/>
      <c r="K226" s="2917"/>
      <c r="L226" s="2105"/>
      <c r="M226" s="2959" t="s">
        <v>4384</v>
      </c>
      <c r="N226" s="2960"/>
      <c r="O226" s="2916"/>
      <c r="P226" s="2916"/>
      <c r="Q226" s="2917"/>
    </row>
    <row r="227" spans="1:32" ht="11.45" customHeight="1">
      <c r="B227" s="48"/>
      <c r="C227" s="54"/>
      <c r="D227" s="37" t="s">
        <v>3049</v>
      </c>
      <c r="E227" s="43"/>
      <c r="G227" s="2957">
        <v>42177</v>
      </c>
      <c r="H227" s="2958"/>
      <c r="I227" s="37"/>
      <c r="J227" s="43"/>
      <c r="K227" s="43"/>
      <c r="L227" s="2105"/>
      <c r="M227" s="2957">
        <v>42509</v>
      </c>
      <c r="N227" s="2958"/>
    </row>
    <row r="228" spans="1:32" ht="11.45" customHeight="1">
      <c r="B228" s="48" t="s">
        <v>2061</v>
      </c>
      <c r="C228" s="54" t="s">
        <v>2929</v>
      </c>
      <c r="D228" s="54"/>
      <c r="E228" s="54"/>
      <c r="F228" s="54"/>
      <c r="G228" s="54"/>
      <c r="H228" s="54"/>
      <c r="I228" s="43"/>
      <c r="J228" s="43"/>
      <c r="K228" s="43"/>
      <c r="L228" s="150"/>
      <c r="M228" s="150"/>
      <c r="O228" s="174" t="s">
        <v>2061</v>
      </c>
      <c r="P228" s="2935" t="s">
        <v>3154</v>
      </c>
      <c r="Q228" s="632"/>
    </row>
    <row r="229" spans="1:32" ht="11.45" customHeight="1">
      <c r="B229" s="48" t="s">
        <v>779</v>
      </c>
      <c r="C229" s="54" t="s">
        <v>2930</v>
      </c>
      <c r="D229" s="54"/>
      <c r="E229" s="54"/>
      <c r="F229" s="54"/>
      <c r="G229" s="54"/>
      <c r="H229" s="54"/>
      <c r="I229" s="43"/>
      <c r="J229" s="43"/>
      <c r="K229" s="43"/>
      <c r="L229" s="150"/>
      <c r="M229" s="150"/>
      <c r="O229" s="174" t="s">
        <v>779</v>
      </c>
      <c r="P229" s="2938" t="s">
        <v>3154</v>
      </c>
      <c r="Q229" s="633"/>
    </row>
    <row r="230" spans="1:32" s="158" customFormat="1" ht="11.45" customHeight="1">
      <c r="B230" s="48" t="s">
        <v>2193</v>
      </c>
      <c r="C230" s="54" t="s">
        <v>3735</v>
      </c>
      <c r="D230" s="54"/>
      <c r="E230" s="54"/>
      <c r="F230" s="54"/>
      <c r="G230" s="54"/>
      <c r="H230" s="54"/>
      <c r="I230" s="100"/>
      <c r="J230" s="100"/>
      <c r="K230" s="100"/>
      <c r="L230" s="1176"/>
      <c r="M230" s="1176"/>
      <c r="N230" s="36"/>
      <c r="O230" s="527" t="s">
        <v>2193</v>
      </c>
      <c r="P230" s="2938" t="s">
        <v>3157</v>
      </c>
      <c r="Q230" s="633"/>
      <c r="AE230" s="531"/>
      <c r="AF230" s="531"/>
    </row>
    <row r="231" spans="1:32" s="158" customFormat="1" ht="11.45" customHeight="1">
      <c r="B231" s="48" t="s">
        <v>1801</v>
      </c>
      <c r="C231" s="54" t="s">
        <v>150</v>
      </c>
      <c r="D231" s="54"/>
      <c r="E231" s="54"/>
      <c r="F231" s="54"/>
      <c r="G231" s="54"/>
      <c r="H231" s="54"/>
      <c r="I231" s="100"/>
      <c r="J231" s="100"/>
      <c r="K231" s="100"/>
      <c r="L231" s="100"/>
      <c r="M231" s="100"/>
      <c r="O231" s="527" t="s">
        <v>1801</v>
      </c>
      <c r="P231" s="2936" t="s">
        <v>3157</v>
      </c>
      <c r="Q231" s="634"/>
      <c r="AE231" s="531"/>
      <c r="AF231" s="531"/>
    </row>
    <row r="232" spans="1:32" ht="11.25" customHeight="1">
      <c r="B232" s="151" t="s">
        <v>1936</v>
      </c>
      <c r="D232" s="151"/>
      <c r="E232" s="151"/>
      <c r="F232" s="151"/>
      <c r="G232" s="151"/>
      <c r="H232" s="41"/>
      <c r="I232" s="1822"/>
      <c r="J232" s="1822"/>
      <c r="K232" s="1822"/>
      <c r="L232" s="1810"/>
      <c r="M232" s="1810"/>
      <c r="N232" s="1810"/>
      <c r="O232" s="1810"/>
      <c r="P232" s="1810"/>
      <c r="Q232" s="1219"/>
    </row>
    <row r="233" spans="1:32" ht="13.15" customHeight="1">
      <c r="A233" s="2900" t="s">
        <v>4385</v>
      </c>
      <c r="B233" s="2901"/>
      <c r="C233" s="2901"/>
      <c r="D233" s="2901"/>
      <c r="E233" s="2901"/>
      <c r="F233" s="2901"/>
      <c r="G233" s="2901"/>
      <c r="H233" s="2901"/>
      <c r="I233" s="2901"/>
      <c r="J233" s="2901"/>
      <c r="K233" s="2901"/>
      <c r="L233" s="2901"/>
      <c r="M233" s="2901"/>
      <c r="N233" s="2901"/>
      <c r="O233" s="2901"/>
      <c r="P233" s="2901"/>
      <c r="Q233" s="2902"/>
      <c r="R233" s="503" t="s">
        <v>1301</v>
      </c>
      <c r="S233" s="503"/>
      <c r="U233" s="146"/>
      <c r="V233" s="146"/>
      <c r="W233" s="146"/>
      <c r="X233" s="146"/>
      <c r="Y233" s="146"/>
      <c r="Z233" s="146"/>
      <c r="AA233" s="146"/>
      <c r="AB233" s="146"/>
      <c r="AC233" s="146"/>
      <c r="AD233" s="146"/>
      <c r="AE233" s="529"/>
    </row>
    <row r="234" spans="1:32" s="28" customFormat="1" ht="3" customHeight="1">
      <c r="C234" s="125"/>
      <c r="D234" s="125"/>
      <c r="R234" s="503"/>
      <c r="S234" s="503"/>
      <c r="AE234" s="125"/>
      <c r="AF234" s="125"/>
    </row>
    <row r="235" spans="1:32" ht="11.25" customHeight="1">
      <c r="B235" s="147" t="s">
        <v>1937</v>
      </c>
      <c r="C235" s="148"/>
      <c r="D235" s="1814"/>
      <c r="E235" s="1814"/>
      <c r="F235" s="1814"/>
      <c r="G235" s="1814"/>
      <c r="H235" s="1814"/>
      <c r="I235" s="1814"/>
      <c r="J235" s="1814"/>
      <c r="K235" s="1814"/>
      <c r="L235" s="1814"/>
      <c r="M235" s="1814"/>
      <c r="N235" s="1814"/>
      <c r="O235" s="1814"/>
      <c r="P235" s="1814"/>
      <c r="Q235" s="1814"/>
    </row>
    <row r="236" spans="1:32" ht="13.15" customHeight="1">
      <c r="A236" s="2121"/>
      <c r="B236" s="2122"/>
      <c r="C236" s="2122"/>
      <c r="D236" s="2122"/>
      <c r="E236" s="2122"/>
      <c r="F236" s="2122"/>
      <c r="G236" s="2122"/>
      <c r="H236" s="2122"/>
      <c r="I236" s="2122"/>
      <c r="J236" s="2122"/>
      <c r="K236" s="2122"/>
      <c r="L236" s="2122"/>
      <c r="M236" s="2122"/>
      <c r="N236" s="2122"/>
      <c r="O236" s="2122"/>
      <c r="P236" s="2122"/>
      <c r="Q236" s="2123"/>
    </row>
    <row r="237" spans="1:32" ht="3" customHeight="1">
      <c r="A237" s="1810"/>
      <c r="B237" s="1822"/>
      <c r="C237" s="1814"/>
      <c r="D237" s="1814"/>
      <c r="E237" s="1814"/>
      <c r="F237" s="1814"/>
      <c r="G237" s="1814"/>
      <c r="H237" s="1814"/>
      <c r="I237" s="1814"/>
      <c r="J237" s="1814"/>
      <c r="K237" s="1814"/>
      <c r="L237" s="1814"/>
      <c r="M237" s="1814"/>
      <c r="Q237" s="1810"/>
    </row>
    <row r="238" spans="1:32" ht="13.9" customHeight="1">
      <c r="A238" s="1818">
        <v>14</v>
      </c>
      <c r="B238" s="1818" t="s">
        <v>2755</v>
      </c>
      <c r="C238" s="121"/>
      <c r="D238" s="1814"/>
      <c r="E238" s="1814"/>
      <c r="F238" s="1814"/>
      <c r="G238" s="1814"/>
      <c r="H238" s="1814"/>
      <c r="I238" s="1814"/>
      <c r="J238" s="1814"/>
      <c r="K238" s="1814"/>
      <c r="L238" s="1814"/>
      <c r="M238" s="1814"/>
      <c r="O238" s="142" t="s">
        <v>1938</v>
      </c>
      <c r="P238" s="2106"/>
      <c r="Q238" s="2107"/>
    </row>
    <row r="239" spans="1:32" s="28" customFormat="1" ht="11.45" customHeight="1">
      <c r="B239" s="155" t="s">
        <v>1235</v>
      </c>
      <c r="N239" s="130"/>
      <c r="P239" s="2896" t="s">
        <v>3157</v>
      </c>
      <c r="Q239" s="629"/>
      <c r="AE239" s="125"/>
      <c r="AF239" s="125"/>
    </row>
    <row r="240" spans="1:32" ht="12" customHeight="1">
      <c r="B240" s="48" t="s">
        <v>2058</v>
      </c>
      <c r="C240" s="37" t="s">
        <v>4163</v>
      </c>
      <c r="D240" s="43"/>
      <c r="E240" s="43"/>
      <c r="F240" s="43"/>
      <c r="G240" s="43"/>
      <c r="H240" s="43"/>
      <c r="I240" s="43"/>
      <c r="J240" s="43"/>
      <c r="K240" s="43"/>
      <c r="L240" s="43"/>
      <c r="M240" s="43"/>
      <c r="O240" s="527" t="s">
        <v>2058</v>
      </c>
      <c r="P240" s="2896" t="s">
        <v>4362</v>
      </c>
      <c r="Q240" s="629"/>
    </row>
    <row r="241" spans="1:32" ht="11.45" customHeight="1">
      <c r="B241" s="48"/>
      <c r="C241" s="70" t="s">
        <v>1803</v>
      </c>
      <c r="D241" s="54" t="s">
        <v>2005</v>
      </c>
      <c r="E241" s="54"/>
      <c r="F241" s="54"/>
      <c r="G241" s="54"/>
      <c r="H241" s="54"/>
      <c r="I241" s="43"/>
      <c r="K241" s="70" t="s">
        <v>1543</v>
      </c>
      <c r="L241" s="2915" t="s">
        <v>4397</v>
      </c>
      <c r="M241" s="2917"/>
      <c r="Q241" s="632"/>
    </row>
    <row r="242" spans="1:32" ht="11.45" customHeight="1">
      <c r="B242" s="48"/>
      <c r="C242" s="70" t="s">
        <v>1804</v>
      </c>
      <c r="D242" s="1220" t="s">
        <v>2830</v>
      </c>
      <c r="E242" s="1220"/>
      <c r="F242" s="1220"/>
      <c r="G242" s="1220"/>
      <c r="H242" s="1220"/>
      <c r="I242" s="43"/>
      <c r="K242" s="70" t="s">
        <v>1544</v>
      </c>
      <c r="L242" s="2961" t="s">
        <v>4398</v>
      </c>
      <c r="M242" s="2962"/>
      <c r="N242" s="2963" t="s">
        <v>2831</v>
      </c>
      <c r="O242" s="2964"/>
      <c r="P242" s="2965"/>
      <c r="Q242" s="633"/>
    </row>
    <row r="243" spans="1:32" ht="11.45" customHeight="1">
      <c r="B243" s="48"/>
      <c r="C243" s="70" t="s">
        <v>1805</v>
      </c>
      <c r="D243" s="1220" t="s">
        <v>577</v>
      </c>
      <c r="E243" s="1220"/>
      <c r="F243" s="1220"/>
      <c r="G243" s="1220"/>
      <c r="H243" s="1220"/>
      <c r="I243" s="43"/>
      <c r="K243" s="70" t="s">
        <v>1545</v>
      </c>
      <c r="L243" s="2915" t="s">
        <v>4399</v>
      </c>
      <c r="M243" s="2916"/>
      <c r="N243" s="2966"/>
      <c r="Q243" s="634"/>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7" t="s">
        <v>2061</v>
      </c>
      <c r="P245" s="2896" t="s">
        <v>4362</v>
      </c>
      <c r="Q245" s="629"/>
    </row>
    <row r="246" spans="1:32" ht="10.9" customHeight="1">
      <c r="B246" s="48"/>
      <c r="C246" s="54" t="s">
        <v>3890</v>
      </c>
      <c r="D246" s="54"/>
      <c r="E246" s="54"/>
      <c r="F246" s="54"/>
      <c r="G246" s="54"/>
      <c r="H246" s="54"/>
      <c r="I246" s="54"/>
      <c r="J246" s="54"/>
      <c r="K246" s="43"/>
      <c r="L246" s="43"/>
      <c r="M246" s="43"/>
      <c r="N246" s="43"/>
      <c r="O246" s="43"/>
      <c r="P246" s="2152" t="s">
        <v>3</v>
      </c>
      <c r="Q246" s="2152"/>
    </row>
    <row r="247" spans="1:32" ht="10.9" customHeight="1">
      <c r="B247" s="48"/>
      <c r="D247" s="54" t="s">
        <v>2</v>
      </c>
      <c r="E247" s="54"/>
      <c r="F247" s="54"/>
      <c r="G247" s="54"/>
      <c r="I247" s="326" t="s">
        <v>804</v>
      </c>
      <c r="J247" s="327" t="s">
        <v>805</v>
      </c>
      <c r="L247" s="54" t="s">
        <v>2832</v>
      </c>
      <c r="M247" s="43"/>
      <c r="N247" s="43"/>
      <c r="O247" s="326"/>
      <c r="P247" s="328" t="s">
        <v>804</v>
      </c>
      <c r="Q247" s="327" t="s">
        <v>805</v>
      </c>
    </row>
    <row r="248" spans="1:32" s="44" customFormat="1" ht="11.45" customHeight="1">
      <c r="A248" s="100"/>
      <c r="B248" s="53"/>
      <c r="C248" s="70" t="s">
        <v>1803</v>
      </c>
      <c r="D248" s="2967" t="s">
        <v>4400</v>
      </c>
      <c r="E248" s="2968"/>
      <c r="F248" s="2968"/>
      <c r="G248" s="2968"/>
      <c r="H248" s="2969"/>
      <c r="I248" s="642"/>
      <c r="J248" s="643"/>
      <c r="K248" s="70" t="s">
        <v>1805</v>
      </c>
      <c r="L248" s="2967" t="s">
        <v>4402</v>
      </c>
      <c r="M248" s="2968"/>
      <c r="N248" s="2968"/>
      <c r="O248" s="2969"/>
      <c r="P248" s="632"/>
      <c r="Q248" s="643"/>
      <c r="AE248" s="56"/>
      <c r="AF248" s="56"/>
    </row>
    <row r="249" spans="1:32" s="44" customFormat="1" ht="11.45" customHeight="1">
      <c r="A249" s="100"/>
      <c r="B249" s="53"/>
      <c r="C249" s="70" t="s">
        <v>1804</v>
      </c>
      <c r="D249" s="2970" t="s">
        <v>4401</v>
      </c>
      <c r="E249" s="2971"/>
      <c r="F249" s="2971"/>
      <c r="G249" s="2971"/>
      <c r="H249" s="2972"/>
      <c r="I249" s="644"/>
      <c r="J249" s="645"/>
      <c r="K249" s="70" t="s">
        <v>2448</v>
      </c>
      <c r="L249" s="2970" t="s">
        <v>4403</v>
      </c>
      <c r="M249" s="2971"/>
      <c r="N249" s="2971"/>
      <c r="O249" s="2972"/>
      <c r="P249" s="634"/>
      <c r="Q249" s="645"/>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7" t="s">
        <v>779</v>
      </c>
      <c r="P251" s="2935" t="s">
        <v>4362</v>
      </c>
      <c r="Q251" s="632"/>
    </row>
    <row r="252" spans="1:32" ht="11.45" customHeight="1">
      <c r="B252" s="48"/>
      <c r="C252" s="70" t="s">
        <v>1803</v>
      </c>
      <c r="D252" s="54" t="s">
        <v>3724</v>
      </c>
      <c r="E252" s="54"/>
      <c r="F252" s="54"/>
      <c r="G252" s="54"/>
      <c r="H252" s="54"/>
      <c r="I252" s="43"/>
      <c r="J252" s="34"/>
      <c r="K252" s="43"/>
      <c r="L252" s="34"/>
      <c r="M252" s="34"/>
      <c r="O252" s="70" t="s">
        <v>1803</v>
      </c>
      <c r="P252" s="2938" t="s">
        <v>3154</v>
      </c>
      <c r="Q252" s="633"/>
    </row>
    <row r="253" spans="1:32" ht="11.45" customHeight="1">
      <c r="C253" s="70" t="s">
        <v>1804</v>
      </c>
      <c r="D253" s="1220" t="s">
        <v>2931</v>
      </c>
      <c r="E253" s="1220"/>
      <c r="F253" s="1220"/>
      <c r="G253" s="1220"/>
      <c r="H253" s="1220"/>
      <c r="I253" s="43"/>
      <c r="J253" s="34"/>
      <c r="K253" s="43"/>
      <c r="L253" s="34"/>
      <c r="M253" s="34"/>
      <c r="O253" s="70" t="s">
        <v>1804</v>
      </c>
      <c r="P253" s="2938" t="s">
        <v>3154</v>
      </c>
      <c r="Q253" s="633"/>
    </row>
    <row r="254" spans="1:32" ht="11.45" customHeight="1">
      <c r="C254" s="70" t="s">
        <v>1805</v>
      </c>
      <c r="D254" s="1220" t="s">
        <v>2932</v>
      </c>
      <c r="E254" s="1220"/>
      <c r="F254" s="1220"/>
      <c r="G254" s="1220"/>
      <c r="H254" s="1220"/>
      <c r="I254" s="43"/>
      <c r="J254" s="34"/>
      <c r="K254" s="43"/>
      <c r="L254" s="34"/>
      <c r="M254" s="34"/>
      <c r="O254" s="70" t="s">
        <v>1805</v>
      </c>
      <c r="P254" s="2938" t="s">
        <v>3154</v>
      </c>
      <c r="Q254" s="633"/>
    </row>
    <row r="255" spans="1:32" ht="11.45" customHeight="1">
      <c r="B255" s="48"/>
      <c r="C255" s="70" t="s">
        <v>2448</v>
      </c>
      <c r="D255" s="1220" t="s">
        <v>2933</v>
      </c>
      <c r="E255" s="1220"/>
      <c r="F255" s="1220"/>
      <c r="G255" s="1220"/>
      <c r="H255" s="1220"/>
      <c r="I255" s="43"/>
      <c r="J255" s="34"/>
      <c r="K255" s="43"/>
      <c r="L255" s="34"/>
      <c r="M255" s="34"/>
      <c r="O255" s="70" t="s">
        <v>2448</v>
      </c>
      <c r="P255" s="2938" t="s">
        <v>3154</v>
      </c>
      <c r="Q255" s="633"/>
    </row>
    <row r="256" spans="1:32" ht="11.45" customHeight="1">
      <c r="B256" s="48"/>
      <c r="C256" s="70" t="s">
        <v>1606</v>
      </c>
      <c r="D256" s="1220" t="s">
        <v>2934</v>
      </c>
      <c r="E256" s="1220"/>
      <c r="F256" s="1220"/>
      <c r="G256" s="1220"/>
      <c r="H256" s="1220"/>
      <c r="I256" s="43"/>
      <c r="J256" s="34"/>
      <c r="K256" s="43"/>
      <c r="L256" s="34"/>
      <c r="M256" s="34"/>
      <c r="O256" s="70" t="s">
        <v>1606</v>
      </c>
      <c r="P256" s="2938" t="s">
        <v>3154</v>
      </c>
      <c r="Q256" s="633"/>
    </row>
    <row r="257" spans="1:31" ht="11.45" customHeight="1">
      <c r="B257" s="48"/>
      <c r="C257" s="527" t="s">
        <v>1607</v>
      </c>
      <c r="D257" s="54" t="s">
        <v>806</v>
      </c>
      <c r="E257" s="54"/>
      <c r="F257" s="54"/>
      <c r="G257" s="54"/>
      <c r="H257" s="54"/>
      <c r="I257" s="43"/>
      <c r="J257" s="34"/>
      <c r="K257" s="43"/>
      <c r="L257" s="34"/>
      <c r="M257" s="34"/>
      <c r="O257" s="527" t="s">
        <v>2919</v>
      </c>
      <c r="P257" s="2938" t="s">
        <v>3154</v>
      </c>
      <c r="Q257" s="633"/>
    </row>
    <row r="258" spans="1:31" ht="11.45" customHeight="1">
      <c r="B258" s="48"/>
      <c r="C258" s="70"/>
      <c r="D258" s="54" t="s">
        <v>1546</v>
      </c>
      <c r="E258" s="54"/>
      <c r="F258" s="54"/>
      <c r="G258" s="54"/>
      <c r="H258" s="54"/>
      <c r="I258" s="43"/>
      <c r="J258" s="34"/>
      <c r="K258" s="43"/>
      <c r="L258" s="34"/>
      <c r="M258" s="34"/>
      <c r="O258" s="527" t="s">
        <v>2920</v>
      </c>
      <c r="P258" s="2936"/>
      <c r="Q258" s="634"/>
    </row>
    <row r="259" spans="1:31" ht="3" customHeight="1">
      <c r="B259" s="48"/>
      <c r="C259" s="70"/>
      <c r="D259" s="54"/>
      <c r="E259" s="54"/>
      <c r="F259" s="54"/>
      <c r="G259" s="54"/>
      <c r="H259" s="54"/>
      <c r="I259" s="43"/>
      <c r="J259" s="34"/>
      <c r="K259" s="43"/>
      <c r="L259" s="34"/>
      <c r="M259" s="34"/>
    </row>
    <row r="260" spans="1:31" ht="12" customHeight="1">
      <c r="B260" s="48" t="s">
        <v>2193</v>
      </c>
      <c r="C260" s="54" t="s">
        <v>4102</v>
      </c>
      <c r="D260" s="54"/>
      <c r="E260" s="54"/>
      <c r="F260" s="54"/>
      <c r="G260" s="54"/>
      <c r="H260" s="54"/>
      <c r="I260" s="54"/>
      <c r="J260" s="54"/>
      <c r="K260" s="43"/>
      <c r="L260" s="54"/>
      <c r="M260" s="54"/>
      <c r="O260" s="527" t="s">
        <v>2193</v>
      </c>
      <c r="P260" s="2935" t="s">
        <v>4362</v>
      </c>
      <c r="Q260" s="632"/>
    </row>
    <row r="261" spans="1:31" ht="11.45" customHeight="1">
      <c r="B261" s="48"/>
      <c r="C261" s="70" t="s">
        <v>1803</v>
      </c>
      <c r="D261" s="40" t="s">
        <v>1302</v>
      </c>
      <c r="E261" s="43"/>
      <c r="F261" s="43"/>
      <c r="G261" s="40"/>
      <c r="H261" s="1220"/>
      <c r="I261" s="43"/>
      <c r="J261" s="1220"/>
      <c r="K261" s="43"/>
      <c r="L261" s="1220"/>
      <c r="M261" s="1220"/>
      <c r="O261" s="70" t="s">
        <v>1803</v>
      </c>
      <c r="P261" s="2938" t="s">
        <v>3154</v>
      </c>
      <c r="Q261" s="633"/>
    </row>
    <row r="262" spans="1:31" ht="11.45" customHeight="1">
      <c r="B262" s="48"/>
      <c r="C262" s="70" t="s">
        <v>1804</v>
      </c>
      <c r="D262" s="40" t="s">
        <v>151</v>
      </c>
      <c r="E262" s="43"/>
      <c r="F262" s="43"/>
      <c r="G262" s="1220"/>
      <c r="H262" s="1220"/>
      <c r="I262" s="43"/>
      <c r="J262" s="1220"/>
      <c r="K262" s="43"/>
      <c r="L262" s="1220"/>
      <c r="M262" s="1220"/>
      <c r="O262" s="70" t="s">
        <v>1804</v>
      </c>
      <c r="P262" s="2938" t="s">
        <v>3154</v>
      </c>
      <c r="Q262" s="633"/>
    </row>
    <row r="263" spans="1:31" ht="11.45" customHeight="1">
      <c r="B263" s="48"/>
      <c r="C263" s="70" t="s">
        <v>1805</v>
      </c>
      <c r="D263" s="1220" t="s">
        <v>4057</v>
      </c>
      <c r="E263" s="43"/>
      <c r="F263" s="43"/>
      <c r="G263" s="1220"/>
      <c r="H263" s="1220"/>
      <c r="I263" s="43"/>
      <c r="J263" s="1220"/>
      <c r="K263" s="43"/>
      <c r="L263" s="1220"/>
      <c r="M263" s="1220"/>
      <c r="O263" s="70" t="s">
        <v>2454</v>
      </c>
      <c r="P263" s="2938" t="s">
        <v>3154</v>
      </c>
      <c r="Q263" s="633"/>
    </row>
    <row r="264" spans="1:31" ht="11.45" customHeight="1">
      <c r="B264" s="37"/>
      <c r="C264" s="43"/>
      <c r="D264" s="1220" t="s">
        <v>1334</v>
      </c>
      <c r="E264" s="43"/>
      <c r="F264" s="43"/>
      <c r="G264" s="1220"/>
      <c r="H264" s="1220"/>
      <c r="I264" s="43"/>
      <c r="J264" s="1220"/>
      <c r="K264" s="43"/>
      <c r="L264" s="1220"/>
      <c r="M264" s="1220"/>
      <c r="O264" s="70" t="s">
        <v>2455</v>
      </c>
      <c r="P264" s="2936"/>
      <c r="Q264" s="634"/>
    </row>
    <row r="265" spans="1:31" ht="11.25" customHeight="1">
      <c r="B265" s="151" t="s">
        <v>1936</v>
      </c>
      <c r="D265" s="151"/>
      <c r="E265" s="151"/>
      <c r="F265" s="151"/>
      <c r="G265" s="151"/>
      <c r="H265" s="41"/>
      <c r="I265" s="1822"/>
      <c r="J265" s="1822"/>
      <c r="K265" s="1822"/>
      <c r="L265" s="1810"/>
      <c r="M265" s="1810"/>
      <c r="N265" s="1810"/>
      <c r="O265" s="1810"/>
      <c r="P265" s="1810"/>
      <c r="Q265" s="1219"/>
    </row>
    <row r="266" spans="1:31" ht="11.45" customHeight="1">
      <c r="A266" s="2900" t="s">
        <v>4404</v>
      </c>
      <c r="B266" s="2901"/>
      <c r="C266" s="2901"/>
      <c r="D266" s="2901"/>
      <c r="E266" s="2901"/>
      <c r="F266" s="2901"/>
      <c r="G266" s="2901"/>
      <c r="H266" s="2901"/>
      <c r="I266" s="2901"/>
      <c r="J266" s="2901"/>
      <c r="K266" s="2901"/>
      <c r="L266" s="2901"/>
      <c r="M266" s="2901"/>
      <c r="N266" s="2901"/>
      <c r="O266" s="2901"/>
      <c r="P266" s="2901"/>
      <c r="Q266" s="2902"/>
      <c r="R266" s="502" t="s">
        <v>1301</v>
      </c>
      <c r="S266" s="503"/>
      <c r="U266" s="146"/>
      <c r="V266" s="146"/>
      <c r="W266" s="146"/>
      <c r="X266" s="146"/>
      <c r="Y266" s="146"/>
      <c r="Z266" s="146"/>
      <c r="AA266" s="146"/>
      <c r="AB266" s="146"/>
      <c r="AC266" s="146"/>
      <c r="AD266" s="146"/>
      <c r="AE266" s="529"/>
    </row>
    <row r="267" spans="1:31" ht="11.25" customHeight="1">
      <c r="B267" s="147" t="s">
        <v>1937</v>
      </c>
      <c r="C267" s="148"/>
      <c r="D267" s="1814"/>
      <c r="E267" s="1814"/>
      <c r="F267" s="1814"/>
      <c r="G267" s="1814"/>
      <c r="H267" s="1814"/>
      <c r="I267" s="1814"/>
      <c r="J267" s="1814"/>
      <c r="K267" s="1814"/>
      <c r="L267" s="1814"/>
      <c r="M267" s="1814"/>
      <c r="N267" s="1814"/>
      <c r="O267" s="1814"/>
      <c r="P267" s="1814"/>
      <c r="Q267" s="1814"/>
    </row>
    <row r="268" spans="1:31" ht="13.15" customHeight="1">
      <c r="A268" s="2121"/>
      <c r="B268" s="2122"/>
      <c r="C268" s="2122"/>
      <c r="D268" s="2122"/>
      <c r="E268" s="2122"/>
      <c r="F268" s="2122"/>
      <c r="G268" s="2122"/>
      <c r="H268" s="2122"/>
      <c r="I268" s="2122"/>
      <c r="J268" s="2122"/>
      <c r="K268" s="2122"/>
      <c r="L268" s="2122"/>
      <c r="M268" s="2122"/>
      <c r="N268" s="2122"/>
      <c r="O268" s="2122"/>
      <c r="P268" s="2122"/>
      <c r="Q268" s="2123"/>
    </row>
    <row r="269" spans="1:31" ht="3" customHeight="1">
      <c r="A269" s="1810"/>
      <c r="B269" s="1822"/>
      <c r="C269" s="1814"/>
      <c r="D269" s="1814"/>
      <c r="E269" s="1814"/>
      <c r="F269" s="1814"/>
      <c r="G269" s="1814"/>
      <c r="H269" s="1814"/>
      <c r="I269" s="1814"/>
      <c r="J269" s="1814"/>
      <c r="K269" s="1814"/>
      <c r="L269" s="1814"/>
      <c r="M269" s="1814"/>
      <c r="Q269" s="1810"/>
    </row>
    <row r="270" spans="1:31" ht="13.9" customHeight="1">
      <c r="A270" s="1818">
        <v>15</v>
      </c>
      <c r="B270" s="4" t="s">
        <v>2756</v>
      </c>
      <c r="C270" s="4"/>
      <c r="D270" s="92"/>
      <c r="E270" s="92"/>
      <c r="F270" s="92"/>
      <c r="G270" s="92"/>
      <c r="H270" s="1814"/>
      <c r="I270" s="1814"/>
      <c r="J270" s="1814"/>
      <c r="K270" s="1814"/>
      <c r="L270" s="1814"/>
      <c r="M270" s="1814"/>
      <c r="O270" s="142" t="s">
        <v>1938</v>
      </c>
      <c r="P270" s="2106"/>
      <c r="Q270" s="2107"/>
    </row>
    <row r="271" spans="1:31" ht="4.9000000000000004" customHeight="1"/>
    <row r="272" spans="1:31" ht="11.45" customHeight="1">
      <c r="B272" s="48" t="s">
        <v>2058</v>
      </c>
      <c r="C272" s="54" t="s">
        <v>1315</v>
      </c>
      <c r="D272" s="43"/>
      <c r="E272" s="54"/>
      <c r="F272" s="54"/>
      <c r="G272" s="54"/>
      <c r="H272" s="54"/>
      <c r="I272" s="43"/>
      <c r="J272" s="43"/>
      <c r="K272" s="527" t="s">
        <v>2058</v>
      </c>
      <c r="L272" s="2918" t="s">
        <v>4386</v>
      </c>
      <c r="M272" s="2919"/>
      <c r="N272" s="2919"/>
      <c r="O272" s="2953"/>
      <c r="P272" s="2158" t="s">
        <v>1837</v>
      </c>
      <c r="Q272" s="2159"/>
    </row>
    <row r="273" spans="1:32" ht="11.45" customHeight="1">
      <c r="B273" s="48" t="s">
        <v>2061</v>
      </c>
      <c r="C273" s="54" t="s">
        <v>2935</v>
      </c>
      <c r="D273" s="54"/>
      <c r="E273" s="54"/>
      <c r="F273" s="54"/>
      <c r="G273" s="54"/>
      <c r="H273" s="54"/>
      <c r="I273" s="43"/>
      <c r="J273" s="43"/>
      <c r="K273" s="527" t="s">
        <v>2061</v>
      </c>
      <c r="L273" s="2973">
        <v>42743</v>
      </c>
      <c r="M273" s="2974"/>
      <c r="N273" s="2974"/>
      <c r="O273" s="2975"/>
      <c r="P273" s="2148"/>
      <c r="Q273" s="2149"/>
    </row>
    <row r="274" spans="1:32" s="158" customFormat="1" ht="11.45" customHeight="1">
      <c r="B274" s="48" t="s">
        <v>779</v>
      </c>
      <c r="C274" s="54" t="s">
        <v>2019</v>
      </c>
      <c r="D274" s="54"/>
      <c r="E274" s="54"/>
      <c r="F274" s="54"/>
      <c r="G274" s="54"/>
      <c r="H274" s="54"/>
      <c r="I274" s="100"/>
      <c r="J274" s="100"/>
      <c r="K274" s="527" t="s">
        <v>779</v>
      </c>
      <c r="L274" s="2954" t="s">
        <v>4387</v>
      </c>
      <c r="M274" s="2955"/>
      <c r="N274" s="2955"/>
      <c r="O274" s="2956"/>
      <c r="P274" s="2156"/>
      <c r="Q274" s="2157"/>
      <c r="AE274" s="531"/>
      <c r="AF274" s="531"/>
    </row>
    <row r="275" spans="1:32" s="158" customFormat="1" ht="11.45" customHeight="1">
      <c r="B275" s="48" t="s">
        <v>2193</v>
      </c>
      <c r="C275" s="54" t="s">
        <v>2631</v>
      </c>
      <c r="D275" s="54"/>
      <c r="E275" s="54"/>
      <c r="F275" s="54"/>
      <c r="G275" s="54"/>
      <c r="H275" s="54"/>
      <c r="I275" s="100"/>
      <c r="J275" s="100"/>
      <c r="K275" s="100"/>
      <c r="L275" s="100"/>
      <c r="M275" s="100"/>
      <c r="O275" s="527" t="s">
        <v>2193</v>
      </c>
      <c r="P275" s="2935" t="s">
        <v>3154</v>
      </c>
      <c r="Q275" s="632"/>
      <c r="AE275" s="531"/>
      <c r="AF275" s="531"/>
    </row>
    <row r="276" spans="1:32" s="158" customFormat="1" ht="22.15" customHeight="1">
      <c r="B276" s="152" t="s">
        <v>1801</v>
      </c>
      <c r="C276" s="2099" t="s">
        <v>2858</v>
      </c>
      <c r="D276" s="2099"/>
      <c r="E276" s="2099"/>
      <c r="F276" s="2099"/>
      <c r="G276" s="2099"/>
      <c r="H276" s="2099"/>
      <c r="I276" s="2099"/>
      <c r="J276" s="2099"/>
      <c r="K276" s="2099"/>
      <c r="L276" s="2099"/>
      <c r="M276" s="2099"/>
      <c r="N276" s="2099"/>
      <c r="O276" s="174" t="s">
        <v>1801</v>
      </c>
      <c r="P276" s="2936" t="s">
        <v>4362</v>
      </c>
      <c r="Q276" s="634"/>
      <c r="T276" s="531"/>
      <c r="AE276" s="531"/>
      <c r="AF276" s="531"/>
    </row>
    <row r="277" spans="1:32" ht="11.25" customHeight="1">
      <c r="B277" s="151" t="s">
        <v>1936</v>
      </c>
      <c r="D277" s="151"/>
      <c r="E277" s="151"/>
      <c r="F277" s="151"/>
      <c r="G277" s="151"/>
      <c r="H277" s="41"/>
      <c r="I277" s="1822"/>
      <c r="J277" s="1822"/>
      <c r="K277" s="1822"/>
      <c r="L277" s="1810"/>
      <c r="M277" s="1810"/>
      <c r="N277" s="1810"/>
      <c r="O277" s="1810"/>
      <c r="P277" s="1810"/>
      <c r="Q277" s="1219"/>
    </row>
    <row r="278" spans="1:32" ht="13.15" customHeight="1">
      <c r="A278" s="2900" t="s">
        <v>4388</v>
      </c>
      <c r="B278" s="2901"/>
      <c r="C278" s="2901"/>
      <c r="D278" s="2901"/>
      <c r="E278" s="2901"/>
      <c r="F278" s="2901"/>
      <c r="G278" s="2901"/>
      <c r="H278" s="2901"/>
      <c r="I278" s="2901"/>
      <c r="J278" s="2901"/>
      <c r="K278" s="2901"/>
      <c r="L278" s="2901"/>
      <c r="M278" s="2901"/>
      <c r="N278" s="2901"/>
      <c r="O278" s="2901"/>
      <c r="P278" s="2901"/>
      <c r="Q278" s="2902"/>
      <c r="R278" s="502" t="s">
        <v>1301</v>
      </c>
      <c r="S278" s="503"/>
      <c r="U278" s="146"/>
      <c r="V278" s="146"/>
      <c r="W278" s="146"/>
      <c r="X278" s="146"/>
      <c r="Y278" s="146"/>
      <c r="Z278" s="146"/>
      <c r="AA278" s="146"/>
      <c r="AB278" s="146"/>
      <c r="AC278" s="146"/>
      <c r="AD278" s="146"/>
      <c r="AE278" s="529"/>
    </row>
    <row r="279" spans="1:32" ht="10.9" customHeight="1">
      <c r="B279" s="147" t="s">
        <v>1937</v>
      </c>
      <c r="C279" s="148"/>
      <c r="D279" s="1814"/>
      <c r="E279" s="1814"/>
      <c r="F279" s="1814"/>
      <c r="G279" s="1814"/>
      <c r="H279" s="1814"/>
      <c r="I279" s="1814"/>
      <c r="J279" s="1814"/>
      <c r="K279" s="1814"/>
      <c r="L279" s="1814"/>
      <c r="M279" s="1814"/>
      <c r="N279" s="1814"/>
      <c r="O279" s="1814"/>
      <c r="P279" s="1814"/>
      <c r="Q279" s="1814"/>
    </row>
    <row r="280" spans="1:32" ht="13.15" customHeight="1">
      <c r="A280" s="2121"/>
      <c r="B280" s="2122"/>
      <c r="C280" s="2122"/>
      <c r="D280" s="2122"/>
      <c r="E280" s="2122"/>
      <c r="F280" s="2122"/>
      <c r="G280" s="2122"/>
      <c r="H280" s="2122"/>
      <c r="I280" s="2122"/>
      <c r="J280" s="2122"/>
      <c r="K280" s="2122"/>
      <c r="L280" s="2122"/>
      <c r="M280" s="2122"/>
      <c r="N280" s="2122"/>
      <c r="O280" s="2122"/>
      <c r="P280" s="2122"/>
      <c r="Q280" s="2123"/>
    </row>
    <row r="281" spans="1:32" ht="3" customHeight="1">
      <c r="A281" s="1810"/>
      <c r="B281" s="1822"/>
      <c r="C281" s="1814"/>
      <c r="D281" s="1814"/>
      <c r="E281" s="1814"/>
      <c r="F281" s="1814"/>
      <c r="G281" s="1814"/>
      <c r="H281" s="1814"/>
      <c r="I281" s="1814"/>
      <c r="J281" s="1814"/>
      <c r="K281" s="1814"/>
      <c r="L281" s="1814"/>
      <c r="M281" s="1814"/>
      <c r="Q281" s="1810"/>
    </row>
    <row r="282" spans="1:32" ht="13.9" customHeight="1">
      <c r="A282" s="1818">
        <v>16</v>
      </c>
      <c r="B282" s="4" t="s">
        <v>2757</v>
      </c>
      <c r="C282" s="4"/>
      <c r="D282" s="92"/>
      <c r="E282" s="92"/>
      <c r="F282" s="92"/>
      <c r="G282" s="92"/>
      <c r="H282" s="1814"/>
      <c r="I282" s="1814"/>
      <c r="J282" s="1814"/>
      <c r="K282" s="1814"/>
      <c r="L282" s="1814"/>
      <c r="M282" s="1814"/>
      <c r="O282" s="142" t="s">
        <v>1938</v>
      </c>
      <c r="P282" s="2106"/>
      <c r="Q282" s="2107"/>
    </row>
    <row r="283" spans="1:32" ht="3" customHeight="1"/>
    <row r="284" spans="1:32" s="465" customFormat="1" ht="21.75" customHeight="1">
      <c r="B284" s="152" t="s">
        <v>2058</v>
      </c>
      <c r="C284" s="2099" t="s">
        <v>2936</v>
      </c>
      <c r="D284" s="2099"/>
      <c r="E284" s="2099"/>
      <c r="F284" s="2099"/>
      <c r="G284" s="2099"/>
      <c r="H284" s="2099"/>
      <c r="I284" s="2099"/>
      <c r="J284" s="2099"/>
      <c r="K284" s="2099"/>
      <c r="L284" s="2099"/>
      <c r="M284" s="2099"/>
      <c r="N284" s="2099"/>
      <c r="O284" s="174" t="s">
        <v>2058</v>
      </c>
      <c r="P284" s="2976" t="s">
        <v>3154</v>
      </c>
      <c r="Q284" s="635"/>
      <c r="AE284" s="532"/>
      <c r="AF284" s="532"/>
    </row>
    <row r="285" spans="1:32" s="158" customFormat="1" ht="11.45" customHeight="1">
      <c r="B285" s="48" t="s">
        <v>2061</v>
      </c>
      <c r="C285" s="54" t="s">
        <v>1457</v>
      </c>
      <c r="D285" s="54"/>
      <c r="E285" s="54"/>
      <c r="F285" s="54"/>
      <c r="G285" s="54"/>
      <c r="H285" s="54"/>
      <c r="I285" s="54"/>
      <c r="J285" s="54"/>
      <c r="K285" s="54"/>
      <c r="L285" s="54"/>
      <c r="M285" s="54"/>
      <c r="O285" s="527" t="s">
        <v>2061</v>
      </c>
      <c r="P285" s="2936" t="s">
        <v>3154</v>
      </c>
      <c r="Q285" s="634"/>
      <c r="AE285" s="531"/>
      <c r="AF285" s="531"/>
    </row>
    <row r="286" spans="1:32" ht="11.25" customHeight="1">
      <c r="B286" s="151" t="s">
        <v>1936</v>
      </c>
      <c r="D286" s="151"/>
      <c r="E286" s="151"/>
      <c r="F286" s="151"/>
      <c r="G286" s="151"/>
      <c r="H286" s="41"/>
      <c r="I286" s="1822"/>
      <c r="J286" s="1822"/>
      <c r="K286" s="1822"/>
      <c r="L286" s="1810"/>
      <c r="M286" s="1810"/>
      <c r="N286" s="1810"/>
      <c r="O286" s="1810"/>
      <c r="P286" s="1810"/>
      <c r="Q286" s="1219"/>
    </row>
    <row r="287" spans="1:32" ht="13.15" customHeight="1">
      <c r="A287" s="2900" t="s">
        <v>4389</v>
      </c>
      <c r="B287" s="2901"/>
      <c r="C287" s="2901"/>
      <c r="D287" s="2901"/>
      <c r="E287" s="2901"/>
      <c r="F287" s="2901"/>
      <c r="G287" s="2901"/>
      <c r="H287" s="2901"/>
      <c r="I287" s="2901"/>
      <c r="J287" s="2901"/>
      <c r="K287" s="2901"/>
      <c r="L287" s="2901"/>
      <c r="M287" s="2901"/>
      <c r="N287" s="2901"/>
      <c r="O287" s="2901"/>
      <c r="P287" s="2901"/>
      <c r="Q287" s="2902"/>
      <c r="R287" s="502" t="s">
        <v>1301</v>
      </c>
      <c r="S287" s="503"/>
      <c r="U287" s="146"/>
      <c r="V287" s="146"/>
      <c r="W287" s="146"/>
      <c r="X287" s="146"/>
      <c r="Y287" s="146"/>
      <c r="Z287" s="146"/>
      <c r="AA287" s="146"/>
      <c r="AB287" s="146"/>
      <c r="AC287" s="146"/>
      <c r="AD287" s="146"/>
      <c r="AE287" s="529"/>
    </row>
    <row r="288" spans="1:32" ht="11.25" customHeight="1">
      <c r="B288" s="147" t="s">
        <v>1937</v>
      </c>
      <c r="C288" s="148"/>
      <c r="D288" s="1814"/>
      <c r="E288" s="1814"/>
      <c r="F288" s="1814"/>
      <c r="G288" s="1814"/>
      <c r="H288" s="1814"/>
      <c r="I288" s="1814"/>
      <c r="J288" s="1814"/>
      <c r="K288" s="1814"/>
      <c r="L288" s="1814"/>
      <c r="M288" s="1814"/>
      <c r="N288" s="1814"/>
      <c r="O288" s="1814"/>
      <c r="P288" s="1814"/>
      <c r="Q288" s="1814"/>
    </row>
    <row r="289" spans="1:32" ht="13.15" customHeight="1">
      <c r="A289" s="2121"/>
      <c r="B289" s="2122"/>
      <c r="C289" s="2122"/>
      <c r="D289" s="2122"/>
      <c r="E289" s="2122"/>
      <c r="F289" s="2122"/>
      <c r="G289" s="2122"/>
      <c r="H289" s="2122"/>
      <c r="I289" s="2122"/>
      <c r="J289" s="2122"/>
      <c r="K289" s="2122"/>
      <c r="L289" s="2122"/>
      <c r="M289" s="2122"/>
      <c r="N289" s="2122"/>
      <c r="O289" s="2122"/>
      <c r="P289" s="2122"/>
      <c r="Q289" s="2123"/>
    </row>
    <row r="290" spans="1:32" ht="13.9" customHeight="1">
      <c r="A290" s="1818">
        <v>17</v>
      </c>
      <c r="B290" s="1818" t="s">
        <v>2758</v>
      </c>
      <c r="C290" s="1818"/>
      <c r="D290" s="1814"/>
      <c r="E290" s="1814"/>
      <c r="F290" s="1814"/>
      <c r="G290" s="1814"/>
      <c r="H290" s="1814"/>
      <c r="I290" s="1814"/>
      <c r="J290" s="1814"/>
      <c r="K290" s="1814"/>
      <c r="L290" s="1814"/>
      <c r="M290" s="1814"/>
      <c r="O290" s="142" t="s">
        <v>1938</v>
      </c>
      <c r="P290" s="2106"/>
      <c r="Q290" s="2107"/>
    </row>
    <row r="291" spans="1:32" ht="3" customHeight="1"/>
    <row r="292" spans="1:32" s="465" customFormat="1" ht="21.75" customHeight="1">
      <c r="B292" s="152" t="s">
        <v>2058</v>
      </c>
      <c r="C292" s="2133" t="s">
        <v>2937</v>
      </c>
      <c r="D292" s="1958"/>
      <c r="E292" s="1958"/>
      <c r="F292" s="1958"/>
      <c r="G292" s="1958"/>
      <c r="H292" s="1958"/>
      <c r="I292" s="1958"/>
      <c r="J292" s="1958"/>
      <c r="K292" s="1958"/>
      <c r="L292" s="1958"/>
      <c r="M292" s="1958"/>
      <c r="N292" s="1958"/>
      <c r="O292" s="174" t="s">
        <v>2058</v>
      </c>
      <c r="P292" s="2935" t="s">
        <v>4362</v>
      </c>
      <c r="Q292" s="632"/>
      <c r="AE292" s="532"/>
      <c r="AF292" s="532"/>
    </row>
    <row r="293" spans="1:32" s="465" customFormat="1" ht="21.75" customHeight="1">
      <c r="B293" s="152" t="s">
        <v>2061</v>
      </c>
      <c r="C293" s="2133" t="s">
        <v>2938</v>
      </c>
      <c r="D293" s="1958"/>
      <c r="E293" s="1958"/>
      <c r="F293" s="1958"/>
      <c r="G293" s="1958"/>
      <c r="H293" s="1958"/>
      <c r="I293" s="1958"/>
      <c r="J293" s="1958"/>
      <c r="K293" s="1958"/>
      <c r="L293" s="1958"/>
      <c r="M293" s="1958"/>
      <c r="N293" s="1958"/>
      <c r="O293" s="174" t="s">
        <v>2061</v>
      </c>
      <c r="P293" s="2936" t="s">
        <v>4362</v>
      </c>
      <c r="Q293" s="634"/>
      <c r="AE293" s="532"/>
      <c r="AF293" s="532"/>
    </row>
    <row r="294" spans="1:32" ht="11.25" customHeight="1">
      <c r="B294" s="151" t="s">
        <v>1936</v>
      </c>
      <c r="D294" s="151"/>
      <c r="E294" s="151"/>
      <c r="F294" s="151"/>
      <c r="G294" s="151"/>
      <c r="H294" s="41"/>
      <c r="I294" s="1822"/>
      <c r="J294" s="1822"/>
      <c r="K294" s="1822"/>
      <c r="L294" s="1810"/>
      <c r="M294" s="1810"/>
      <c r="N294" s="1810"/>
      <c r="O294" s="1810"/>
      <c r="P294" s="1810"/>
      <c r="Q294" s="1219"/>
    </row>
    <row r="295" spans="1:32" ht="13.15" customHeight="1">
      <c r="A295" s="2900" t="s">
        <v>4390</v>
      </c>
      <c r="B295" s="2901"/>
      <c r="C295" s="2901"/>
      <c r="D295" s="2901"/>
      <c r="E295" s="2901"/>
      <c r="F295" s="2901"/>
      <c r="G295" s="2901"/>
      <c r="H295" s="2901"/>
      <c r="I295" s="2901"/>
      <c r="J295" s="2901"/>
      <c r="K295" s="2901"/>
      <c r="L295" s="2901"/>
      <c r="M295" s="2901"/>
      <c r="N295" s="2901"/>
      <c r="O295" s="2901"/>
      <c r="P295" s="2901"/>
      <c r="Q295" s="2902"/>
      <c r="R295" s="502" t="s">
        <v>1301</v>
      </c>
      <c r="S295" s="503"/>
      <c r="U295" s="146"/>
      <c r="V295" s="146"/>
      <c r="W295" s="146"/>
      <c r="X295" s="146"/>
      <c r="Y295" s="146"/>
      <c r="Z295" s="146"/>
      <c r="AA295" s="146"/>
      <c r="AB295" s="146"/>
      <c r="AC295" s="146"/>
      <c r="AD295" s="146"/>
      <c r="AE295" s="529"/>
    </row>
    <row r="296" spans="1:32" ht="11.25" customHeight="1">
      <c r="B296" s="147" t="s">
        <v>1937</v>
      </c>
      <c r="C296" s="148"/>
      <c r="D296" s="1814"/>
      <c r="E296" s="1814"/>
      <c r="F296" s="1814"/>
      <c r="G296" s="1814"/>
      <c r="H296" s="1814"/>
      <c r="I296" s="1814"/>
      <c r="J296" s="1814"/>
      <c r="K296" s="1814"/>
      <c r="L296" s="1814"/>
      <c r="M296" s="1814"/>
      <c r="N296" s="1814"/>
      <c r="O296" s="1814"/>
      <c r="P296" s="1814"/>
      <c r="Q296" s="1814"/>
    </row>
    <row r="297" spans="1:32" ht="13.15" customHeight="1">
      <c r="A297" s="2121"/>
      <c r="B297" s="2122"/>
      <c r="C297" s="2122"/>
      <c r="D297" s="2122"/>
      <c r="E297" s="2122"/>
      <c r="F297" s="2122"/>
      <c r="G297" s="2122"/>
      <c r="H297" s="2122"/>
      <c r="I297" s="2122"/>
      <c r="J297" s="2122"/>
      <c r="K297" s="2122"/>
      <c r="L297" s="2122"/>
      <c r="M297" s="2122"/>
      <c r="N297" s="2122"/>
      <c r="O297" s="2122"/>
      <c r="P297" s="2122"/>
      <c r="Q297" s="2123"/>
    </row>
    <row r="298" spans="1:32" ht="13.9" customHeight="1">
      <c r="A298" s="1818">
        <v>18</v>
      </c>
      <c r="B298" s="1818" t="s">
        <v>2759</v>
      </c>
      <c r="C298" s="159"/>
      <c r="D298" s="1821"/>
      <c r="E298" s="1814"/>
      <c r="F298" s="1814"/>
      <c r="G298" s="1814"/>
      <c r="H298" s="1814"/>
      <c r="I298" s="1814"/>
      <c r="J298" s="1814"/>
      <c r="K298" s="1814"/>
      <c r="L298" s="1814"/>
      <c r="M298" s="1814"/>
      <c r="O298" s="142" t="s">
        <v>1938</v>
      </c>
      <c r="P298" s="2106"/>
      <c r="Q298" s="2107"/>
    </row>
    <row r="299" spans="1:32" ht="3" customHeight="1"/>
    <row r="300" spans="1:32" s="158" customFormat="1" ht="42.75" customHeight="1">
      <c r="B300" s="152" t="s">
        <v>2058</v>
      </c>
      <c r="C300" s="160" t="s">
        <v>1803</v>
      </c>
      <c r="D300" s="2133" t="s">
        <v>3736</v>
      </c>
      <c r="E300" s="2133"/>
      <c r="F300" s="2133"/>
      <c r="G300" s="2133"/>
      <c r="H300" s="2133"/>
      <c r="I300" s="2133"/>
      <c r="J300" s="2133"/>
      <c r="K300" s="2133"/>
      <c r="L300" s="2133"/>
      <c r="M300" s="2133"/>
      <c r="N300" s="2133"/>
      <c r="O300" s="174" t="s">
        <v>2834</v>
      </c>
      <c r="P300" s="2976" t="s">
        <v>3154</v>
      </c>
      <c r="Q300" s="632"/>
      <c r="AE300" s="531"/>
      <c r="AF300" s="531"/>
    </row>
    <row r="301" spans="1:32" s="465" customFormat="1" ht="21.75" customHeight="1">
      <c r="B301" s="152"/>
      <c r="C301" s="160" t="s">
        <v>1804</v>
      </c>
      <c r="D301" s="2133" t="s">
        <v>3720</v>
      </c>
      <c r="E301" s="2133"/>
      <c r="F301" s="2133"/>
      <c r="G301" s="2133"/>
      <c r="H301" s="2133"/>
      <c r="I301" s="2133"/>
      <c r="J301" s="2133"/>
      <c r="K301" s="2133"/>
      <c r="L301" s="2133"/>
      <c r="M301" s="2133"/>
      <c r="N301" s="2133"/>
      <c r="O301" s="160" t="s">
        <v>1804</v>
      </c>
      <c r="P301" s="2939"/>
      <c r="Q301" s="636"/>
      <c r="AE301" s="532"/>
      <c r="AF301" s="532"/>
    </row>
    <row r="302" spans="1:32" s="100" customFormat="1" ht="11.25" customHeight="1">
      <c r="B302" s="48"/>
      <c r="C302" s="527" t="s">
        <v>1805</v>
      </c>
      <c r="D302" s="2151" t="s">
        <v>4058</v>
      </c>
      <c r="E302" s="2151"/>
      <c r="F302" s="2151"/>
      <c r="G302" s="2151"/>
      <c r="H302" s="2151"/>
      <c r="I302" s="2151"/>
      <c r="J302" s="2151"/>
      <c r="K302" s="2151"/>
      <c r="L302" s="2151"/>
      <c r="M302" s="2151"/>
      <c r="N302" s="2151"/>
      <c r="O302" s="527" t="s">
        <v>1805</v>
      </c>
      <c r="P302" s="2977" t="s">
        <v>3154</v>
      </c>
      <c r="Q302" s="1262"/>
      <c r="AE302" s="533"/>
      <c r="AF302" s="533"/>
    </row>
    <row r="303" spans="1:32" s="100" customFormat="1" ht="11.25" customHeight="1">
      <c r="B303" s="152" t="s">
        <v>2061</v>
      </c>
      <c r="C303" s="160" t="s">
        <v>1803</v>
      </c>
      <c r="D303" s="2133" t="s">
        <v>4059</v>
      </c>
      <c r="E303" s="2133"/>
      <c r="F303" s="2133"/>
      <c r="G303" s="2133"/>
      <c r="H303" s="2133"/>
      <c r="I303" s="2133"/>
      <c r="J303" s="2133"/>
      <c r="K303" s="2133"/>
      <c r="L303" s="2133"/>
      <c r="M303" s="2133"/>
      <c r="N303" s="2133"/>
      <c r="O303" s="527" t="s">
        <v>4061</v>
      </c>
      <c r="P303" s="2935" t="s">
        <v>3154</v>
      </c>
      <c r="Q303" s="632"/>
      <c r="AE303" s="533"/>
      <c r="AF303" s="533"/>
    </row>
    <row r="304" spans="1:32" s="100" customFormat="1" ht="11.25" customHeight="1">
      <c r="B304" s="152"/>
      <c r="C304" s="160"/>
      <c r="D304" s="2133" t="s">
        <v>4060</v>
      </c>
      <c r="E304" s="2133"/>
      <c r="F304" s="2133"/>
      <c r="G304" s="2133"/>
      <c r="H304" s="2133"/>
      <c r="I304" s="2133"/>
      <c r="J304" s="2133"/>
      <c r="K304" s="2133"/>
      <c r="L304" s="2133"/>
      <c r="M304" s="2133"/>
      <c r="N304" s="2133"/>
      <c r="O304" s="527" t="s">
        <v>2195</v>
      </c>
      <c r="P304" s="2938" t="s">
        <v>3154</v>
      </c>
      <c r="Q304" s="633"/>
      <c r="AE304" s="533"/>
      <c r="AF304" s="533"/>
    </row>
    <row r="305" spans="1:32" s="100" customFormat="1" ht="11.25" customHeight="1">
      <c r="B305" s="152"/>
      <c r="C305" s="160" t="s">
        <v>1804</v>
      </c>
      <c r="D305" s="2133" t="s">
        <v>2833</v>
      </c>
      <c r="E305" s="2133"/>
      <c r="F305" s="2133"/>
      <c r="G305" s="2133"/>
      <c r="H305" s="2133"/>
      <c r="I305" s="2133"/>
      <c r="J305" s="2133"/>
      <c r="K305" s="2133"/>
      <c r="L305" s="2133"/>
      <c r="M305" s="2133"/>
      <c r="N305" s="2133"/>
      <c r="O305" s="527" t="s">
        <v>1804</v>
      </c>
      <c r="P305" s="2936" t="s">
        <v>3154</v>
      </c>
      <c r="Q305" s="634"/>
      <c r="AE305" s="533"/>
      <c r="AF305" s="533"/>
    </row>
    <row r="306" spans="1:32" s="100" customFormat="1" ht="21.75" customHeight="1">
      <c r="B306" s="152" t="s">
        <v>779</v>
      </c>
      <c r="C306" s="2136" t="s">
        <v>4063</v>
      </c>
      <c r="D306" s="2136"/>
      <c r="E306" s="2136"/>
      <c r="F306" s="2136"/>
      <c r="G306" s="2136"/>
      <c r="H306" s="2136"/>
      <c r="I306" s="2136"/>
      <c r="J306" s="2136"/>
      <c r="K306" s="2136"/>
      <c r="L306" s="2136"/>
      <c r="M306" s="2136"/>
      <c r="N306" s="2136"/>
      <c r="O306" s="174" t="s">
        <v>779</v>
      </c>
      <c r="P306" s="2978" t="s">
        <v>3154</v>
      </c>
      <c r="Q306" s="630"/>
      <c r="AE306" s="533"/>
      <c r="AF306" s="533"/>
    </row>
    <row r="307" spans="1:32" s="100" customFormat="1" ht="11.25" customHeight="1">
      <c r="B307" s="152"/>
      <c r="C307" s="435" t="s">
        <v>4064</v>
      </c>
      <c r="D307" s="435"/>
      <c r="E307" s="435"/>
      <c r="F307" s="435"/>
      <c r="G307" s="435"/>
      <c r="H307" s="435"/>
      <c r="I307" s="435"/>
      <c r="J307" s="435"/>
      <c r="K307" s="435"/>
      <c r="L307" s="435"/>
      <c r="M307" s="435"/>
      <c r="N307" s="435"/>
      <c r="O307" s="435"/>
      <c r="P307" s="435"/>
      <c r="Q307" s="435"/>
      <c r="R307" s="435"/>
      <c r="AE307" s="533"/>
      <c r="AF307" s="533"/>
    </row>
    <row r="308" spans="1:32" s="465" customFormat="1" ht="44.25" customHeight="1">
      <c r="C308" s="160" t="s">
        <v>1803</v>
      </c>
      <c r="D308" s="2133" t="s">
        <v>4062</v>
      </c>
      <c r="E308" s="2133"/>
      <c r="F308" s="2133"/>
      <c r="G308" s="2133"/>
      <c r="H308" s="2133"/>
      <c r="I308" s="2133"/>
      <c r="J308" s="2133"/>
      <c r="K308" s="2133"/>
      <c r="L308" s="2133"/>
      <c r="M308" s="2133"/>
      <c r="N308" s="2133"/>
      <c r="O308" s="174" t="s">
        <v>4067</v>
      </c>
      <c r="P308" s="2976" t="s">
        <v>3154</v>
      </c>
      <c r="Q308" s="635"/>
      <c r="AE308" s="532"/>
      <c r="AF308" s="532"/>
    </row>
    <row r="309" spans="1:32" s="465" customFormat="1" ht="11.25" customHeight="1">
      <c r="B309" s="152"/>
      <c r="C309" s="160" t="s">
        <v>1804</v>
      </c>
      <c r="D309" s="2133" t="s">
        <v>4136</v>
      </c>
      <c r="E309" s="2133"/>
      <c r="F309" s="2133"/>
      <c r="G309" s="2133"/>
      <c r="H309" s="2133"/>
      <c r="I309" s="2133"/>
      <c r="J309" s="2133"/>
      <c r="K309" s="2133"/>
      <c r="L309" s="2133"/>
      <c r="M309" s="2133"/>
      <c r="N309" s="2133"/>
      <c r="O309" s="174" t="s">
        <v>4068</v>
      </c>
      <c r="P309" s="2939" t="s">
        <v>3154</v>
      </c>
      <c r="Q309" s="636"/>
      <c r="AE309" s="532"/>
      <c r="AF309" s="532"/>
    </row>
    <row r="310" spans="1:32" s="465" customFormat="1" ht="32.25" customHeight="1">
      <c r="B310" s="152"/>
      <c r="C310" s="174" t="s">
        <v>1805</v>
      </c>
      <c r="D310" s="2133" t="s">
        <v>4065</v>
      </c>
      <c r="E310" s="2133"/>
      <c r="F310" s="2133"/>
      <c r="G310" s="2133"/>
      <c r="H310" s="2133"/>
      <c r="I310" s="2133"/>
      <c r="J310" s="2133"/>
      <c r="K310" s="2133"/>
      <c r="L310" s="2133"/>
      <c r="M310" s="2133"/>
      <c r="N310" s="2133"/>
      <c r="O310" s="174" t="s">
        <v>4069</v>
      </c>
      <c r="P310" s="2939" t="s">
        <v>3154</v>
      </c>
      <c r="Q310" s="636"/>
      <c r="AE310" s="532"/>
      <c r="AF310" s="532"/>
    </row>
    <row r="311" spans="1:32" s="465" customFormat="1" ht="32.25" customHeight="1">
      <c r="B311" s="152"/>
      <c r="C311" s="174" t="s">
        <v>2448</v>
      </c>
      <c r="D311" s="2133" t="s">
        <v>4066</v>
      </c>
      <c r="E311" s="2133"/>
      <c r="F311" s="2133"/>
      <c r="G311" s="2133"/>
      <c r="H311" s="2133"/>
      <c r="I311" s="2133"/>
      <c r="J311" s="2133"/>
      <c r="K311" s="2133"/>
      <c r="L311" s="2133"/>
      <c r="M311" s="2133"/>
      <c r="N311" s="2133"/>
      <c r="O311" s="174" t="s">
        <v>4070</v>
      </c>
      <c r="P311" s="2979" t="s">
        <v>3154</v>
      </c>
      <c r="Q311" s="637"/>
      <c r="AE311" s="532"/>
      <c r="AF311" s="532"/>
    </row>
    <row r="312" spans="1:32" ht="11.25" customHeight="1">
      <c r="B312" s="151" t="s">
        <v>1936</v>
      </c>
      <c r="D312" s="151"/>
      <c r="E312" s="151"/>
      <c r="F312" s="151"/>
      <c r="G312" s="151"/>
      <c r="H312" s="41"/>
      <c r="I312" s="1822"/>
      <c r="J312" s="1822"/>
      <c r="K312" s="1822"/>
      <c r="L312" s="1810"/>
      <c r="M312" s="1810"/>
      <c r="N312" s="1810"/>
      <c r="O312" s="1810"/>
      <c r="P312" s="1810"/>
      <c r="Q312" s="1219"/>
    </row>
    <row r="313" spans="1:32" ht="11.45" customHeight="1">
      <c r="A313" s="2900" t="s">
        <v>4391</v>
      </c>
      <c r="B313" s="2901"/>
      <c r="C313" s="2901"/>
      <c r="D313" s="2901"/>
      <c r="E313" s="2901"/>
      <c r="F313" s="2901"/>
      <c r="G313" s="2901"/>
      <c r="H313" s="2901"/>
      <c r="I313" s="2901"/>
      <c r="J313" s="2901"/>
      <c r="K313" s="2901"/>
      <c r="L313" s="2901"/>
      <c r="M313" s="2901"/>
      <c r="N313" s="2901"/>
      <c r="O313" s="2901"/>
      <c r="P313" s="2901"/>
      <c r="Q313" s="2902"/>
      <c r="R313" s="502" t="s">
        <v>1301</v>
      </c>
      <c r="S313" s="503"/>
      <c r="U313" s="146"/>
      <c r="V313" s="146"/>
      <c r="W313" s="146"/>
      <c r="X313" s="146"/>
      <c r="Y313" s="146"/>
      <c r="Z313" s="146"/>
      <c r="AA313" s="146"/>
      <c r="AB313" s="146"/>
      <c r="AC313" s="146"/>
      <c r="AD313" s="146"/>
      <c r="AE313" s="529"/>
    </row>
    <row r="314" spans="1:32" ht="11.25" customHeight="1">
      <c r="B314" s="147" t="s">
        <v>1937</v>
      </c>
      <c r="C314" s="148"/>
      <c r="D314" s="1814"/>
      <c r="E314" s="1814"/>
      <c r="F314" s="1814"/>
      <c r="G314" s="1814"/>
      <c r="H314" s="1814"/>
      <c r="I314" s="1814"/>
      <c r="J314" s="1814"/>
      <c r="K314" s="1814"/>
      <c r="L314" s="1814"/>
      <c r="M314" s="1814"/>
      <c r="N314" s="1814"/>
      <c r="O314" s="1814"/>
      <c r="P314" s="1814"/>
      <c r="Q314" s="1814"/>
    </row>
    <row r="315" spans="1:32" ht="11.45" customHeight="1">
      <c r="A315" s="2140"/>
      <c r="B315" s="2141"/>
      <c r="C315" s="2141"/>
      <c r="D315" s="2141"/>
      <c r="E315" s="2141"/>
      <c r="F315" s="2141"/>
      <c r="G315" s="2141"/>
      <c r="H315" s="2141"/>
      <c r="I315" s="2141"/>
      <c r="J315" s="2141"/>
      <c r="K315" s="2141"/>
      <c r="L315" s="2141"/>
      <c r="M315" s="2141"/>
      <c r="N315" s="2141"/>
      <c r="O315" s="2141"/>
      <c r="P315" s="2141"/>
      <c r="Q315" s="2142"/>
    </row>
    <row r="316" spans="1:32" ht="13.9" customHeight="1">
      <c r="A316" s="1818">
        <v>19</v>
      </c>
      <c r="B316" s="10" t="s">
        <v>2760</v>
      </c>
      <c r="C316" s="10"/>
      <c r="D316" s="10"/>
      <c r="E316" s="10"/>
      <c r="F316" s="10"/>
      <c r="G316" s="10"/>
      <c r="H316" s="1814"/>
      <c r="I316" s="1814"/>
      <c r="J316" s="1814"/>
      <c r="K316" s="1814"/>
      <c r="L316" s="1814"/>
      <c r="M316" s="1814"/>
      <c r="O316" s="142" t="s">
        <v>1938</v>
      </c>
      <c r="P316" s="2134"/>
      <c r="Q316" s="2135"/>
    </row>
    <row r="317" spans="1:32" ht="11.45" customHeight="1">
      <c r="B317" s="155" t="s">
        <v>2332</v>
      </c>
      <c r="P317" s="2935" t="s">
        <v>3154</v>
      </c>
      <c r="Q317" s="632"/>
    </row>
    <row r="318" spans="1:32" ht="12" customHeight="1">
      <c r="B318" s="1176" t="s">
        <v>2290</v>
      </c>
      <c r="C318" s="1176"/>
      <c r="D318" s="1176"/>
      <c r="E318" s="1176"/>
      <c r="F318" s="1176"/>
      <c r="G318" s="1176"/>
      <c r="H318" s="1176"/>
      <c r="I318" s="1176"/>
      <c r="J318" s="1176"/>
      <c r="K318" s="1176"/>
      <c r="L318" s="1176"/>
      <c r="P318" s="2936"/>
      <c r="Q318" s="634"/>
    </row>
    <row r="319" spans="1:32" ht="11.45" customHeight="1">
      <c r="B319" s="152" t="s">
        <v>2058</v>
      </c>
      <c r="C319" s="199" t="s">
        <v>476</v>
      </c>
      <c r="D319" s="1220"/>
      <c r="E319" s="1220"/>
      <c r="F319" s="1220"/>
      <c r="G319" s="1220"/>
      <c r="H319" s="1220"/>
      <c r="I319" s="1220"/>
      <c r="J319" s="1220"/>
      <c r="K319" s="1220"/>
      <c r="L319" s="1220"/>
      <c r="M319" s="1220"/>
      <c r="N319" s="174"/>
    </row>
    <row r="320" spans="1:32" ht="22.5" customHeight="1">
      <c r="A320" s="154"/>
      <c r="C320" s="2133" t="s">
        <v>3021</v>
      </c>
      <c r="D320" s="2133"/>
      <c r="E320" s="2133"/>
      <c r="F320" s="2133"/>
      <c r="G320" s="2133"/>
      <c r="H320" s="2133"/>
      <c r="I320" s="2133"/>
      <c r="J320" s="2133"/>
      <c r="K320" s="2133"/>
      <c r="L320" s="2133"/>
      <c r="M320" s="2133"/>
      <c r="N320" s="2133"/>
      <c r="O320" s="174" t="s">
        <v>2058</v>
      </c>
      <c r="P320" s="2980" t="s">
        <v>3154</v>
      </c>
      <c r="Q320" s="641"/>
    </row>
    <row r="321" spans="1:256 1523:1523" ht="12.6" customHeight="1">
      <c r="B321" s="152" t="s">
        <v>2061</v>
      </c>
      <c r="C321" s="2130" t="s">
        <v>477</v>
      </c>
      <c r="D321" s="2130"/>
      <c r="E321" s="2130"/>
      <c r="F321" s="2130"/>
      <c r="G321" s="2130"/>
      <c r="H321" s="2130"/>
      <c r="I321" s="2130"/>
      <c r="J321" s="2130"/>
      <c r="K321" s="2130"/>
      <c r="L321" s="2130"/>
      <c r="M321" s="2130"/>
      <c r="O321" s="174" t="s">
        <v>2061</v>
      </c>
      <c r="P321" s="1810"/>
      <c r="Q321" s="1219"/>
    </row>
    <row r="322" spans="1:256 1523:1523" ht="23.25" customHeight="1">
      <c r="A322" s="154"/>
      <c r="C322" s="232" t="s">
        <v>1803</v>
      </c>
      <c r="D322" s="233" t="s">
        <v>1170</v>
      </c>
      <c r="E322" s="143"/>
      <c r="F322" s="143"/>
      <c r="G322" s="2981" t="s">
        <v>1499</v>
      </c>
      <c r="H322" s="2982"/>
      <c r="I322" s="2982"/>
      <c r="J322" s="2982"/>
      <c r="K322" s="2982"/>
      <c r="L322" s="2982"/>
      <c r="M322" s="2982"/>
      <c r="N322" s="2983"/>
      <c r="O322" s="236" t="s">
        <v>1803</v>
      </c>
      <c r="P322" s="2976" t="s">
        <v>3154</v>
      </c>
      <c r="Q322" s="635"/>
      <c r="BFO322" s="158" t="s">
        <v>2835</v>
      </c>
    </row>
    <row r="323" spans="1:256 1523:1523" ht="23.25" customHeight="1">
      <c r="A323" s="154"/>
      <c r="C323" s="232" t="s">
        <v>1804</v>
      </c>
      <c r="D323" s="2099" t="s">
        <v>1171</v>
      </c>
      <c r="E323" s="2131"/>
      <c r="F323" s="2132"/>
      <c r="G323" s="2970" t="s">
        <v>2743</v>
      </c>
      <c r="H323" s="2984"/>
      <c r="I323" s="2984"/>
      <c r="J323" s="2984"/>
      <c r="K323" s="2984"/>
      <c r="L323" s="2984"/>
      <c r="M323" s="2984"/>
      <c r="N323" s="2985"/>
      <c r="O323" s="236" t="s">
        <v>1804</v>
      </c>
      <c r="P323" s="2979" t="s">
        <v>3154</v>
      </c>
      <c r="Q323" s="637"/>
    </row>
    <row r="324" spans="1:256 1523:1523" ht="3" customHeight="1">
      <c r="A324" s="1810"/>
      <c r="B324" s="1810"/>
      <c r="C324" s="1810"/>
      <c r="D324" s="1810"/>
      <c r="E324" s="1810"/>
      <c r="F324" s="1810"/>
      <c r="G324" s="1810"/>
      <c r="H324" s="1810"/>
      <c r="I324" s="1810"/>
      <c r="J324" s="1810"/>
      <c r="K324" s="1810"/>
      <c r="L324" s="1810"/>
      <c r="M324" s="1810"/>
      <c r="N324" s="1810"/>
      <c r="O324" s="1810"/>
      <c r="P324" s="1810"/>
      <c r="Q324" s="1810"/>
      <c r="R324" s="1810"/>
      <c r="S324" s="1810"/>
      <c r="T324" s="1810"/>
      <c r="U324" s="1810"/>
      <c r="V324" s="1810"/>
      <c r="W324" s="1810"/>
      <c r="X324" s="1810"/>
      <c r="Y324" s="1810"/>
      <c r="Z324" s="1810"/>
      <c r="AA324" s="1810"/>
      <c r="AB324" s="1810"/>
      <c r="AC324" s="1810"/>
      <c r="AD324" s="1810"/>
      <c r="AE324" s="1219"/>
      <c r="AF324" s="1219"/>
      <c r="AG324" s="1810"/>
      <c r="AH324" s="1810"/>
      <c r="AI324" s="1810"/>
      <c r="AJ324" s="1810"/>
      <c r="AK324" s="1810"/>
      <c r="AL324" s="1810"/>
      <c r="AM324" s="1810"/>
      <c r="AN324" s="1810"/>
      <c r="AO324" s="1810"/>
      <c r="AP324" s="1810"/>
      <c r="AQ324" s="1810"/>
      <c r="AR324" s="1810"/>
      <c r="AS324" s="1810"/>
      <c r="AT324" s="1810"/>
      <c r="AU324" s="1810"/>
      <c r="AV324" s="1810"/>
      <c r="AW324" s="1810"/>
      <c r="AX324" s="1810"/>
      <c r="AY324" s="1810"/>
      <c r="AZ324" s="1810"/>
      <c r="BA324" s="1810"/>
      <c r="BB324" s="1810"/>
      <c r="BC324" s="1810"/>
      <c r="BD324" s="1810"/>
      <c r="BE324" s="1810"/>
      <c r="BF324" s="1810"/>
      <c r="BG324" s="1810"/>
      <c r="BH324" s="1810"/>
      <c r="BI324" s="1810"/>
      <c r="BJ324" s="1810"/>
      <c r="BK324" s="1810"/>
      <c r="BL324" s="1810"/>
      <c r="BM324" s="1810"/>
      <c r="BN324" s="1810"/>
      <c r="BO324" s="1810"/>
      <c r="BP324" s="1810"/>
      <c r="BQ324" s="1810"/>
      <c r="BR324" s="1810"/>
      <c r="BS324" s="1810"/>
      <c r="BT324" s="1810"/>
      <c r="BU324" s="1810"/>
      <c r="BV324" s="1810"/>
      <c r="BW324" s="1810"/>
      <c r="BX324" s="1810"/>
      <c r="BY324" s="1810"/>
      <c r="BZ324" s="1810"/>
      <c r="CA324" s="1810"/>
      <c r="CB324" s="1810"/>
      <c r="CC324" s="1810"/>
      <c r="CD324" s="1810"/>
      <c r="CE324" s="1810"/>
      <c r="CF324" s="1810"/>
      <c r="CG324" s="1810"/>
      <c r="CH324" s="1810"/>
      <c r="CI324" s="1810"/>
      <c r="CJ324" s="1810"/>
      <c r="CK324" s="1810"/>
      <c r="CL324" s="1810"/>
      <c r="CM324" s="1810"/>
      <c r="CN324" s="1810"/>
      <c r="CO324" s="1810"/>
      <c r="CP324" s="1810"/>
      <c r="CQ324" s="1810"/>
      <c r="CR324" s="1810"/>
      <c r="CS324" s="1810"/>
      <c r="CT324" s="1810"/>
      <c r="CU324" s="1810"/>
      <c r="CV324" s="1810"/>
      <c r="CW324" s="1810"/>
      <c r="CX324" s="1810"/>
      <c r="CY324" s="1810"/>
      <c r="CZ324" s="1810"/>
      <c r="DA324" s="1810"/>
      <c r="DB324" s="1810"/>
      <c r="DC324" s="1810"/>
      <c r="DD324" s="1810"/>
      <c r="DE324" s="1810"/>
      <c r="DF324" s="1810"/>
      <c r="DG324" s="1810"/>
      <c r="DH324" s="1810"/>
      <c r="DI324" s="1810"/>
      <c r="DJ324" s="1810"/>
      <c r="DK324" s="1810"/>
      <c r="DL324" s="1810"/>
      <c r="DM324" s="1810"/>
      <c r="DN324" s="1810"/>
      <c r="DO324" s="1810"/>
      <c r="DP324" s="1810"/>
      <c r="DQ324" s="1810"/>
      <c r="DR324" s="1810"/>
      <c r="DS324" s="1810"/>
      <c r="DT324" s="1810"/>
      <c r="DU324" s="1810"/>
      <c r="DV324" s="1810"/>
      <c r="DW324" s="1810"/>
      <c r="DX324" s="1810"/>
      <c r="DY324" s="1810"/>
      <c r="DZ324" s="1810"/>
      <c r="EA324" s="1810"/>
      <c r="EB324" s="1810"/>
      <c r="EC324" s="1810"/>
      <c r="ED324" s="1810"/>
      <c r="EE324" s="1810"/>
      <c r="EF324" s="1810"/>
      <c r="EG324" s="1810"/>
      <c r="EH324" s="1810"/>
      <c r="EI324" s="1810"/>
      <c r="EJ324" s="1810"/>
      <c r="EK324" s="1810"/>
      <c r="EL324" s="1810"/>
      <c r="EM324" s="1810"/>
      <c r="EN324" s="1810"/>
      <c r="EO324" s="1810"/>
      <c r="EP324" s="1810"/>
      <c r="EQ324" s="1810"/>
      <c r="ER324" s="1810"/>
      <c r="ES324" s="1810"/>
      <c r="ET324" s="1810"/>
      <c r="EU324" s="1810"/>
      <c r="EV324" s="1810"/>
      <c r="EW324" s="1810"/>
      <c r="EX324" s="1810"/>
      <c r="EY324" s="1810"/>
      <c r="EZ324" s="1810"/>
      <c r="FA324" s="1810"/>
      <c r="FB324" s="1810"/>
      <c r="FC324" s="1810"/>
      <c r="FD324" s="1810"/>
      <c r="FE324" s="1810"/>
      <c r="FF324" s="1810"/>
      <c r="FG324" s="1810"/>
      <c r="FH324" s="1810"/>
      <c r="FI324" s="1810"/>
      <c r="FJ324" s="1810"/>
      <c r="FK324" s="1810"/>
      <c r="FL324" s="1810"/>
      <c r="FM324" s="1810"/>
      <c r="FN324" s="1810"/>
      <c r="FO324" s="1810"/>
      <c r="FP324" s="1810"/>
      <c r="FQ324" s="1810"/>
      <c r="FR324" s="1810"/>
      <c r="FS324" s="1810"/>
      <c r="FT324" s="1810"/>
      <c r="FU324" s="1810"/>
      <c r="FV324" s="1810"/>
      <c r="FW324" s="1810"/>
      <c r="FX324" s="1810"/>
      <c r="FY324" s="1810"/>
      <c r="FZ324" s="1810"/>
      <c r="GA324" s="1810"/>
      <c r="GB324" s="1810"/>
      <c r="GC324" s="1810"/>
      <c r="GD324" s="1810"/>
      <c r="GE324" s="1810"/>
      <c r="GF324" s="1810"/>
      <c r="GG324" s="1810"/>
      <c r="GH324" s="1810"/>
      <c r="GI324" s="1810"/>
      <c r="GJ324" s="1810"/>
      <c r="GK324" s="1810"/>
      <c r="GL324" s="1810"/>
      <c r="GM324" s="1810"/>
      <c r="GN324" s="1810"/>
      <c r="GO324" s="1810"/>
      <c r="GP324" s="1810"/>
      <c r="GQ324" s="1810"/>
      <c r="GR324" s="1810"/>
      <c r="GS324" s="1810"/>
      <c r="GT324" s="1810"/>
      <c r="GU324" s="1810"/>
      <c r="GV324" s="1810"/>
      <c r="GW324" s="1810"/>
      <c r="GX324" s="1810"/>
      <c r="GY324" s="1810"/>
      <c r="GZ324" s="1810"/>
      <c r="HA324" s="1810"/>
      <c r="HB324" s="1810"/>
      <c r="HC324" s="1810"/>
      <c r="HD324" s="1810"/>
      <c r="HE324" s="1810"/>
      <c r="HF324" s="1810"/>
      <c r="HG324" s="1810"/>
      <c r="HH324" s="1810"/>
      <c r="HI324" s="1810"/>
      <c r="HJ324" s="1810"/>
      <c r="HK324" s="1810"/>
      <c r="HL324" s="1810"/>
      <c r="HM324" s="1810"/>
      <c r="HN324" s="1810"/>
      <c r="HO324" s="1810"/>
      <c r="HP324" s="1810"/>
      <c r="HQ324" s="1810"/>
      <c r="HR324" s="1810"/>
      <c r="HS324" s="1810"/>
      <c r="HT324" s="1810"/>
      <c r="HU324" s="1810"/>
      <c r="HV324" s="1810"/>
      <c r="HW324" s="1810"/>
      <c r="HX324" s="1810"/>
      <c r="HY324" s="1810"/>
      <c r="HZ324" s="1810"/>
      <c r="IA324" s="1810"/>
      <c r="IB324" s="1810"/>
      <c r="IC324" s="1810"/>
      <c r="ID324" s="1810"/>
      <c r="IE324" s="1810"/>
      <c r="IF324" s="1810"/>
      <c r="IG324" s="1810"/>
      <c r="IH324" s="1810"/>
      <c r="II324" s="1810"/>
      <c r="IJ324" s="1810"/>
      <c r="IK324" s="1810"/>
      <c r="IL324" s="1810"/>
      <c r="IM324" s="1810"/>
      <c r="IN324" s="1810"/>
      <c r="IO324" s="1810"/>
      <c r="IP324" s="1810"/>
      <c r="IQ324" s="1810"/>
      <c r="IR324" s="1810"/>
      <c r="IS324" s="1810"/>
      <c r="IT324" s="1810"/>
      <c r="IU324" s="1810"/>
      <c r="IV324" s="1810"/>
    </row>
    <row r="325" spans="1:256 1523:1523" s="143" customFormat="1" ht="22.5" customHeight="1">
      <c r="B325" s="152" t="s">
        <v>779</v>
      </c>
      <c r="C325" s="2139" t="s">
        <v>2766</v>
      </c>
      <c r="D325" s="2139"/>
      <c r="E325" s="2139"/>
      <c r="F325" s="2139"/>
      <c r="G325" s="2139"/>
      <c r="H325" s="2139"/>
      <c r="I325" s="2139"/>
      <c r="J325" s="2139"/>
      <c r="K325" s="2139"/>
      <c r="L325" s="2139"/>
      <c r="M325" s="2139"/>
      <c r="N325" s="2139"/>
      <c r="O325" s="499" t="s">
        <v>779</v>
      </c>
      <c r="P325" s="1810"/>
      <c r="Q325" s="1219"/>
      <c r="AE325" s="530"/>
      <c r="AF325" s="530"/>
    </row>
    <row r="326" spans="1:256 1523:1523" s="143" customFormat="1" ht="11.25" customHeight="1">
      <c r="A326" s="154"/>
      <c r="C326" s="232" t="s">
        <v>1803</v>
      </c>
      <c r="D326" s="2967"/>
      <c r="E326" s="2968"/>
      <c r="F326" s="2968"/>
      <c r="G326" s="2968"/>
      <c r="H326" s="2968"/>
      <c r="I326" s="2968"/>
      <c r="J326" s="2968"/>
      <c r="K326" s="2968"/>
      <c r="L326" s="2968"/>
      <c r="M326" s="2968"/>
      <c r="N326" s="2969"/>
      <c r="O326" s="236" t="s">
        <v>1803</v>
      </c>
      <c r="P326" s="2976"/>
      <c r="Q326" s="635"/>
      <c r="AE326" s="530"/>
      <c r="AF326" s="530"/>
    </row>
    <row r="327" spans="1:256 1523:1523" s="143" customFormat="1" ht="11.25" customHeight="1">
      <c r="A327" s="154"/>
      <c r="C327" s="232" t="s">
        <v>1804</v>
      </c>
      <c r="D327" s="2970"/>
      <c r="E327" s="2971"/>
      <c r="F327" s="2971"/>
      <c r="G327" s="2971"/>
      <c r="H327" s="2971"/>
      <c r="I327" s="2971"/>
      <c r="J327" s="2971"/>
      <c r="K327" s="2971"/>
      <c r="L327" s="2971"/>
      <c r="M327" s="2971"/>
      <c r="N327" s="2972"/>
      <c r="O327" s="236" t="s">
        <v>1804</v>
      </c>
      <c r="P327" s="2979"/>
      <c r="Q327" s="637"/>
      <c r="AE327" s="530"/>
      <c r="AF327" s="530"/>
    </row>
    <row r="328" spans="1:256 1523:1523" ht="3" customHeight="1">
      <c r="A328" s="1810"/>
      <c r="B328" s="1810"/>
      <c r="C328" s="1810"/>
      <c r="D328" s="1810"/>
      <c r="E328" s="1810"/>
      <c r="F328" s="1810"/>
      <c r="G328" s="1810"/>
      <c r="H328" s="1810"/>
      <c r="I328" s="1810"/>
      <c r="J328" s="1810"/>
      <c r="K328" s="1810"/>
      <c r="L328" s="1810"/>
      <c r="M328" s="1810"/>
      <c r="N328" s="1810"/>
      <c r="O328" s="1810"/>
      <c r="P328" s="1810"/>
      <c r="Q328" s="1810"/>
      <c r="R328" s="1810"/>
      <c r="S328" s="1810"/>
      <c r="T328" s="1810"/>
      <c r="U328" s="1810"/>
      <c r="V328" s="1810"/>
      <c r="W328" s="1810"/>
      <c r="X328" s="1810"/>
      <c r="Y328" s="1810"/>
      <c r="Z328" s="1810"/>
      <c r="AA328" s="1810"/>
      <c r="AB328" s="1810"/>
      <c r="AC328" s="1810"/>
      <c r="AD328" s="1810"/>
      <c r="AE328" s="1219"/>
      <c r="AF328" s="1219"/>
      <c r="AG328" s="1810"/>
      <c r="AH328" s="1810"/>
      <c r="AI328" s="1810"/>
      <c r="AJ328" s="1810"/>
      <c r="AK328" s="1810"/>
      <c r="AL328" s="1810"/>
      <c r="AM328" s="1810"/>
      <c r="AN328" s="1810"/>
      <c r="AO328" s="1810"/>
      <c r="AP328" s="1810"/>
      <c r="AQ328" s="1810"/>
      <c r="AR328" s="1810"/>
      <c r="AS328" s="1810"/>
      <c r="AT328" s="1810"/>
      <c r="AU328" s="1810"/>
      <c r="AV328" s="1810"/>
      <c r="AW328" s="1810"/>
      <c r="AX328" s="1810"/>
      <c r="AY328" s="1810"/>
      <c r="AZ328" s="1810"/>
      <c r="BA328" s="1810"/>
      <c r="BB328" s="1810"/>
      <c r="BC328" s="1810"/>
      <c r="BD328" s="1810"/>
      <c r="BE328" s="1810"/>
      <c r="BF328" s="1810"/>
      <c r="BG328" s="1810"/>
      <c r="BH328" s="1810"/>
      <c r="BI328" s="1810"/>
      <c r="BJ328" s="1810"/>
      <c r="BK328" s="1810"/>
      <c r="BL328" s="1810"/>
      <c r="BM328" s="1810"/>
      <c r="BN328" s="1810"/>
      <c r="BO328" s="1810"/>
      <c r="BP328" s="1810"/>
      <c r="BQ328" s="1810"/>
      <c r="BR328" s="1810"/>
      <c r="BS328" s="1810"/>
      <c r="BT328" s="1810"/>
      <c r="BU328" s="1810"/>
      <c r="BV328" s="1810"/>
      <c r="BW328" s="1810"/>
      <c r="BX328" s="1810"/>
      <c r="BY328" s="1810"/>
      <c r="BZ328" s="1810"/>
      <c r="CA328" s="1810"/>
      <c r="CB328" s="1810"/>
      <c r="CC328" s="1810"/>
      <c r="CD328" s="1810"/>
      <c r="CE328" s="1810"/>
      <c r="CF328" s="1810"/>
      <c r="CG328" s="1810"/>
      <c r="CH328" s="1810"/>
      <c r="CI328" s="1810"/>
      <c r="CJ328" s="1810"/>
      <c r="CK328" s="1810"/>
      <c r="CL328" s="1810"/>
      <c r="CM328" s="1810"/>
      <c r="CN328" s="1810"/>
      <c r="CO328" s="1810"/>
      <c r="CP328" s="1810"/>
      <c r="CQ328" s="1810"/>
      <c r="CR328" s="1810"/>
      <c r="CS328" s="1810"/>
      <c r="CT328" s="1810"/>
      <c r="CU328" s="1810"/>
      <c r="CV328" s="1810"/>
      <c r="CW328" s="1810"/>
      <c r="CX328" s="1810"/>
      <c r="CY328" s="1810"/>
      <c r="CZ328" s="1810"/>
      <c r="DA328" s="1810"/>
      <c r="DB328" s="1810"/>
      <c r="DC328" s="1810"/>
      <c r="DD328" s="1810"/>
      <c r="DE328" s="1810"/>
      <c r="DF328" s="1810"/>
      <c r="DG328" s="1810"/>
      <c r="DH328" s="1810"/>
      <c r="DI328" s="1810"/>
      <c r="DJ328" s="1810"/>
      <c r="DK328" s="1810"/>
      <c r="DL328" s="1810"/>
      <c r="DM328" s="1810"/>
      <c r="DN328" s="1810"/>
      <c r="DO328" s="1810"/>
      <c r="DP328" s="1810"/>
      <c r="DQ328" s="1810"/>
      <c r="DR328" s="1810"/>
      <c r="DS328" s="1810"/>
      <c r="DT328" s="1810"/>
      <c r="DU328" s="1810"/>
      <c r="DV328" s="1810"/>
      <c r="DW328" s="1810"/>
      <c r="DX328" s="1810"/>
      <c r="DY328" s="1810"/>
      <c r="DZ328" s="1810"/>
      <c r="EA328" s="1810"/>
      <c r="EB328" s="1810"/>
      <c r="EC328" s="1810"/>
      <c r="ED328" s="1810"/>
      <c r="EE328" s="1810"/>
      <c r="EF328" s="1810"/>
      <c r="EG328" s="1810"/>
      <c r="EH328" s="1810"/>
      <c r="EI328" s="1810"/>
      <c r="EJ328" s="1810"/>
      <c r="EK328" s="1810"/>
      <c r="EL328" s="1810"/>
      <c r="EM328" s="1810"/>
      <c r="EN328" s="1810"/>
      <c r="EO328" s="1810"/>
      <c r="EP328" s="1810"/>
      <c r="EQ328" s="1810"/>
      <c r="ER328" s="1810"/>
      <c r="ES328" s="1810"/>
      <c r="ET328" s="1810"/>
      <c r="EU328" s="1810"/>
      <c r="EV328" s="1810"/>
      <c r="EW328" s="1810"/>
      <c r="EX328" s="1810"/>
      <c r="EY328" s="1810"/>
      <c r="EZ328" s="1810"/>
      <c r="FA328" s="1810"/>
      <c r="FB328" s="1810"/>
      <c r="FC328" s="1810"/>
      <c r="FD328" s="1810"/>
      <c r="FE328" s="1810"/>
      <c r="FF328" s="1810"/>
      <c r="FG328" s="1810"/>
      <c r="FH328" s="1810"/>
      <c r="FI328" s="1810"/>
      <c r="FJ328" s="1810"/>
      <c r="FK328" s="1810"/>
      <c r="FL328" s="1810"/>
      <c r="FM328" s="1810"/>
      <c r="FN328" s="1810"/>
      <c r="FO328" s="1810"/>
      <c r="FP328" s="1810"/>
      <c r="FQ328" s="1810"/>
      <c r="FR328" s="1810"/>
      <c r="FS328" s="1810"/>
      <c r="FT328" s="1810"/>
      <c r="FU328" s="1810"/>
      <c r="FV328" s="1810"/>
      <c r="FW328" s="1810"/>
      <c r="FX328" s="1810"/>
      <c r="FY328" s="1810"/>
      <c r="FZ328" s="1810"/>
      <c r="GA328" s="1810"/>
      <c r="GB328" s="1810"/>
      <c r="GC328" s="1810"/>
      <c r="GD328" s="1810"/>
      <c r="GE328" s="1810"/>
      <c r="GF328" s="1810"/>
      <c r="GG328" s="1810"/>
      <c r="GH328" s="1810"/>
      <c r="GI328" s="1810"/>
      <c r="GJ328" s="1810"/>
      <c r="GK328" s="1810"/>
      <c r="GL328" s="1810"/>
      <c r="GM328" s="1810"/>
      <c r="GN328" s="1810"/>
      <c r="GO328" s="1810"/>
      <c r="GP328" s="1810"/>
      <c r="GQ328" s="1810"/>
      <c r="GR328" s="1810"/>
      <c r="GS328" s="1810"/>
      <c r="GT328" s="1810"/>
      <c r="GU328" s="1810"/>
      <c r="GV328" s="1810"/>
      <c r="GW328" s="1810"/>
      <c r="GX328" s="1810"/>
      <c r="GY328" s="1810"/>
      <c r="GZ328" s="1810"/>
      <c r="HA328" s="1810"/>
      <c r="HB328" s="1810"/>
      <c r="HC328" s="1810"/>
      <c r="HD328" s="1810"/>
      <c r="HE328" s="1810"/>
      <c r="HF328" s="1810"/>
      <c r="HG328" s="1810"/>
      <c r="HH328" s="1810"/>
      <c r="HI328" s="1810"/>
      <c r="HJ328" s="1810"/>
      <c r="HK328" s="1810"/>
      <c r="HL328" s="1810"/>
      <c r="HM328" s="1810"/>
      <c r="HN328" s="1810"/>
      <c r="HO328" s="1810"/>
      <c r="HP328" s="1810"/>
      <c r="HQ328" s="1810"/>
      <c r="HR328" s="1810"/>
      <c r="HS328" s="1810"/>
      <c r="HT328" s="1810"/>
      <c r="HU328" s="1810"/>
      <c r="HV328" s="1810"/>
      <c r="HW328" s="1810"/>
      <c r="HX328" s="1810"/>
      <c r="HY328" s="1810"/>
      <c r="HZ328" s="1810"/>
      <c r="IA328" s="1810"/>
      <c r="IB328" s="1810"/>
      <c r="IC328" s="1810"/>
      <c r="ID328" s="1810"/>
      <c r="IE328" s="1810"/>
      <c r="IF328" s="1810"/>
      <c r="IG328" s="1810"/>
      <c r="IH328" s="1810"/>
      <c r="II328" s="1810"/>
      <c r="IJ328" s="1810"/>
      <c r="IK328" s="1810"/>
      <c r="IL328" s="1810"/>
      <c r="IM328" s="1810"/>
      <c r="IN328" s="1810"/>
      <c r="IO328" s="1810"/>
      <c r="IP328" s="1810"/>
      <c r="IQ328" s="1810"/>
      <c r="IR328" s="1810"/>
      <c r="IS328" s="1810"/>
      <c r="IT328" s="1810"/>
      <c r="IU328" s="1810"/>
      <c r="IV328" s="1810"/>
    </row>
    <row r="329" spans="1:256 1523:1523" ht="11.25" customHeight="1">
      <c r="B329" s="151" t="s">
        <v>1936</v>
      </c>
      <c r="D329" s="151"/>
      <c r="E329" s="151"/>
      <c r="F329" s="151"/>
      <c r="G329" s="151"/>
      <c r="H329" s="41"/>
      <c r="I329" s="1822"/>
      <c r="J329" s="1822"/>
      <c r="K329" s="1822"/>
      <c r="L329" s="1810"/>
      <c r="M329" s="1810"/>
      <c r="N329" s="1810"/>
      <c r="O329" s="1810"/>
      <c r="P329" s="1810"/>
      <c r="Q329" s="1219"/>
    </row>
    <row r="330" spans="1:256 1523:1523" ht="11.45" customHeight="1">
      <c r="A330" s="2900" t="s">
        <v>4392</v>
      </c>
      <c r="B330" s="2901"/>
      <c r="C330" s="2901"/>
      <c r="D330" s="2901"/>
      <c r="E330" s="2901"/>
      <c r="F330" s="2901"/>
      <c r="G330" s="2901"/>
      <c r="H330" s="2901"/>
      <c r="I330" s="2901"/>
      <c r="J330" s="2901"/>
      <c r="K330" s="2901"/>
      <c r="L330" s="2901"/>
      <c r="M330" s="2901"/>
      <c r="N330" s="2901"/>
      <c r="O330" s="2901"/>
      <c r="P330" s="2901"/>
      <c r="Q330" s="2902"/>
      <c r="R330" s="528" t="s">
        <v>1301</v>
      </c>
      <c r="S330" s="131"/>
      <c r="U330" s="146"/>
      <c r="V330" s="146"/>
      <c r="W330" s="146"/>
      <c r="X330" s="146"/>
      <c r="Y330" s="146"/>
      <c r="Z330" s="146"/>
      <c r="AA330" s="146"/>
      <c r="AB330" s="146"/>
      <c r="AC330" s="146"/>
      <c r="AD330" s="146"/>
      <c r="AE330" s="529"/>
    </row>
    <row r="331" spans="1:256 1523:1523" ht="11.25" customHeight="1">
      <c r="B331" s="147" t="s">
        <v>1937</v>
      </c>
      <c r="C331" s="148"/>
      <c r="D331" s="1814"/>
      <c r="E331" s="1814"/>
      <c r="F331" s="1814"/>
      <c r="G331" s="1814"/>
      <c r="H331" s="1814"/>
      <c r="I331" s="1814"/>
      <c r="J331" s="1814"/>
      <c r="K331" s="1814"/>
      <c r="L331" s="1814"/>
      <c r="M331" s="1814"/>
      <c r="N331" s="1814"/>
      <c r="O331" s="1814"/>
      <c r="P331" s="1814"/>
      <c r="Q331" s="1814"/>
    </row>
    <row r="332" spans="1:256 1523:1523" ht="11.45" customHeight="1">
      <c r="A332" s="2121"/>
      <c r="B332" s="2122"/>
      <c r="C332" s="2122"/>
      <c r="D332" s="2122"/>
      <c r="E332" s="2122"/>
      <c r="F332" s="2122"/>
      <c r="G332" s="2122"/>
      <c r="H332" s="2122"/>
      <c r="I332" s="2122"/>
      <c r="J332" s="2122"/>
      <c r="K332" s="2122"/>
      <c r="L332" s="2122"/>
      <c r="M332" s="2122"/>
      <c r="N332" s="2122"/>
      <c r="O332" s="2122"/>
      <c r="P332" s="2122"/>
      <c r="Q332" s="2123"/>
    </row>
    <row r="333" spans="1:256 1523:1523" ht="13.9" customHeight="1">
      <c r="A333" s="1818">
        <v>20</v>
      </c>
      <c r="B333" s="1818" t="s">
        <v>3026</v>
      </c>
      <c r="C333" s="1818"/>
      <c r="D333" s="1814"/>
      <c r="E333" s="1814"/>
      <c r="F333" s="1814"/>
      <c r="G333" s="1814"/>
      <c r="H333" s="1814"/>
      <c r="O333" s="142" t="s">
        <v>1938</v>
      </c>
      <c r="P333" s="2106"/>
      <c r="Q333" s="2107"/>
    </row>
    <row r="334" spans="1:256 1523:1523" ht="11.45" customHeight="1">
      <c r="B334" s="57" t="s">
        <v>3027</v>
      </c>
      <c r="P334" s="2935" t="s">
        <v>3157</v>
      </c>
      <c r="Q334" s="632"/>
    </row>
    <row r="335" spans="1:256 1523:1523" ht="11.45" customHeight="1">
      <c r="B335" s="155" t="s">
        <v>2431</v>
      </c>
      <c r="P335" s="2936"/>
      <c r="Q335" s="634"/>
    </row>
    <row r="336" spans="1:256 1523:1523" ht="11.45" customHeight="1">
      <c r="B336" s="57" t="s">
        <v>3028</v>
      </c>
      <c r="M336" s="2986" t="s">
        <v>3030</v>
      </c>
      <c r="N336" s="2987"/>
      <c r="O336" s="2988"/>
    </row>
    <row r="337" spans="1:31" ht="11.45" customHeight="1">
      <c r="B337" s="460" t="s">
        <v>2432</v>
      </c>
      <c r="M337" s="2143" t="s">
        <v>3029</v>
      </c>
      <c r="N337" s="2144"/>
      <c r="O337" s="2145"/>
    </row>
    <row r="338" spans="1:31" ht="11.25" customHeight="1">
      <c r="B338" s="151" t="s">
        <v>1936</v>
      </c>
      <c r="D338" s="151"/>
      <c r="E338" s="151"/>
      <c r="F338" s="151"/>
      <c r="G338" s="151"/>
      <c r="H338" s="41"/>
      <c r="I338" s="1822"/>
      <c r="J338" s="1822"/>
      <c r="K338" s="1822"/>
      <c r="L338" s="1810"/>
      <c r="M338" s="1810"/>
      <c r="N338" s="1810"/>
      <c r="O338" s="1810"/>
      <c r="P338" s="1810"/>
      <c r="Q338" s="1219"/>
    </row>
    <row r="339" spans="1:31" ht="13.15" customHeight="1">
      <c r="A339" s="2900" t="s">
        <v>4393</v>
      </c>
      <c r="B339" s="2901"/>
      <c r="C339" s="2901"/>
      <c r="D339" s="2901"/>
      <c r="E339" s="2901"/>
      <c r="F339" s="2901"/>
      <c r="G339" s="2901"/>
      <c r="H339" s="2901"/>
      <c r="I339" s="2901"/>
      <c r="J339" s="2901"/>
      <c r="K339" s="2901"/>
      <c r="L339" s="2901"/>
      <c r="M339" s="2901"/>
      <c r="N339" s="2901"/>
      <c r="O339" s="2901"/>
      <c r="P339" s="2901"/>
      <c r="Q339" s="2902"/>
      <c r="R339" s="502" t="s">
        <v>1301</v>
      </c>
      <c r="S339" s="503"/>
      <c r="U339" s="146"/>
      <c r="V339" s="146"/>
      <c r="W339" s="146"/>
      <c r="X339" s="146"/>
      <c r="Y339" s="146"/>
      <c r="Z339" s="146"/>
      <c r="AA339" s="146"/>
      <c r="AB339" s="146"/>
      <c r="AC339" s="146"/>
      <c r="AD339" s="146"/>
      <c r="AE339" s="529"/>
    </row>
    <row r="340" spans="1:31" ht="11.25" customHeight="1">
      <c r="B340" s="147" t="s">
        <v>1937</v>
      </c>
      <c r="C340" s="148"/>
      <c r="D340" s="1814"/>
      <c r="E340" s="1814"/>
      <c r="F340" s="1814"/>
      <c r="G340" s="1814"/>
      <c r="H340" s="1814"/>
      <c r="I340" s="1814"/>
      <c r="J340" s="1814"/>
      <c r="K340" s="1814"/>
      <c r="L340" s="1814"/>
      <c r="M340" s="1814"/>
      <c r="N340" s="1814"/>
      <c r="O340" s="1814"/>
      <c r="P340" s="1814"/>
      <c r="Q340" s="1814"/>
    </row>
    <row r="341" spans="1:31" ht="13.15" customHeight="1">
      <c r="A341" s="2121"/>
      <c r="B341" s="2122"/>
      <c r="C341" s="2122"/>
      <c r="D341" s="2122"/>
      <c r="E341" s="2122"/>
      <c r="F341" s="2122"/>
      <c r="G341" s="2122"/>
      <c r="H341" s="2122"/>
      <c r="I341" s="2122"/>
      <c r="J341" s="2122"/>
      <c r="K341" s="2122"/>
      <c r="L341" s="2122"/>
      <c r="M341" s="2122"/>
      <c r="N341" s="2122"/>
      <c r="O341" s="2122"/>
      <c r="P341" s="2122"/>
      <c r="Q341" s="2123"/>
    </row>
    <row r="342" spans="1:31" ht="13.9" customHeight="1">
      <c r="A342" s="1818">
        <v>21</v>
      </c>
      <c r="B342" s="4" t="s">
        <v>2761</v>
      </c>
      <c r="C342" s="4"/>
      <c r="D342" s="92"/>
      <c r="E342" s="1814"/>
      <c r="F342" s="1814"/>
      <c r="G342" s="1814"/>
      <c r="H342" s="1814"/>
      <c r="I342" s="1814"/>
      <c r="J342" s="1814"/>
      <c r="K342" s="1814"/>
      <c r="L342" s="1814"/>
      <c r="M342" s="1814"/>
      <c r="O342" s="142" t="s">
        <v>1938</v>
      </c>
      <c r="P342" s="2106"/>
      <c r="Q342" s="2107"/>
    </row>
    <row r="343" spans="1:31">
      <c r="B343" s="152" t="s">
        <v>2058</v>
      </c>
      <c r="C343" s="2099" t="s">
        <v>4095</v>
      </c>
      <c r="D343" s="2099"/>
      <c r="E343" s="2099"/>
      <c r="F343" s="2099"/>
      <c r="G343" s="2099"/>
      <c r="H343" s="2099"/>
      <c r="I343" s="2099"/>
      <c r="J343" s="2099"/>
      <c r="K343" s="2099"/>
      <c r="L343" s="2099"/>
      <c r="M343" s="2099"/>
      <c r="N343" s="2099"/>
      <c r="O343" s="174" t="s">
        <v>2058</v>
      </c>
      <c r="P343" s="2935" t="s">
        <v>3157</v>
      </c>
      <c r="Q343" s="632"/>
    </row>
    <row r="344" spans="1:31">
      <c r="B344" s="152" t="s">
        <v>2061</v>
      </c>
      <c r="C344" s="2099" t="s">
        <v>4096</v>
      </c>
      <c r="D344" s="2099"/>
      <c r="E344" s="2099"/>
      <c r="F344" s="2099"/>
      <c r="G344" s="2099"/>
      <c r="H344" s="2099"/>
      <c r="I344" s="2099"/>
      <c r="J344" s="2099"/>
      <c r="K344" s="2099"/>
      <c r="L344" s="2099"/>
      <c r="M344" s="2099"/>
      <c r="N344" s="2099"/>
      <c r="O344" s="174" t="s">
        <v>2061</v>
      </c>
      <c r="P344" s="2938"/>
      <c r="Q344" s="633"/>
    </row>
    <row r="345" spans="1:31" ht="22.5" customHeight="1">
      <c r="B345" s="152" t="s">
        <v>779</v>
      </c>
      <c r="C345" s="2099" t="s">
        <v>3737</v>
      </c>
      <c r="D345" s="2099"/>
      <c r="E345" s="2099"/>
      <c r="F345" s="2099"/>
      <c r="G345" s="2099"/>
      <c r="H345" s="2099"/>
      <c r="I345" s="2099"/>
      <c r="J345" s="2099"/>
      <c r="K345" s="2099"/>
      <c r="L345" s="2099"/>
      <c r="M345" s="2099"/>
      <c r="N345" s="2099"/>
      <c r="O345" s="174" t="s">
        <v>779</v>
      </c>
      <c r="P345" s="2936" t="s">
        <v>3154</v>
      </c>
      <c r="Q345" s="633"/>
    </row>
    <row r="346" spans="1:31" ht="11.25" customHeight="1">
      <c r="B346" s="151" t="s">
        <v>1936</v>
      </c>
      <c r="D346" s="151"/>
      <c r="E346" s="151"/>
      <c r="F346" s="151"/>
      <c r="G346" s="151"/>
      <c r="H346" s="41"/>
      <c r="I346" s="1822"/>
      <c r="J346" s="1822"/>
      <c r="K346" s="1822"/>
      <c r="L346" s="1810"/>
      <c r="M346" s="1810"/>
      <c r="N346" s="1810"/>
      <c r="O346" s="1810"/>
      <c r="P346" s="1810"/>
      <c r="Q346" s="1219"/>
    </row>
    <row r="347" spans="1:31" ht="11.45" customHeight="1">
      <c r="A347" s="2900" t="s">
        <v>4394</v>
      </c>
      <c r="B347" s="2901"/>
      <c r="C347" s="2901"/>
      <c r="D347" s="2901"/>
      <c r="E347" s="2901"/>
      <c r="F347" s="2901"/>
      <c r="G347" s="2901"/>
      <c r="H347" s="2901"/>
      <c r="I347" s="2901"/>
      <c r="J347" s="2901"/>
      <c r="K347" s="2901"/>
      <c r="L347" s="2901"/>
      <c r="M347" s="2901"/>
      <c r="N347" s="2901"/>
      <c r="O347" s="2901"/>
      <c r="P347" s="2901"/>
      <c r="Q347" s="2902"/>
      <c r="U347" s="146"/>
      <c r="V347" s="146"/>
      <c r="W347" s="146"/>
      <c r="X347" s="146"/>
      <c r="Y347" s="146"/>
      <c r="Z347" s="146"/>
      <c r="AA347" s="146"/>
      <c r="AB347" s="146"/>
      <c r="AC347" s="146"/>
      <c r="AD347" s="146"/>
      <c r="AE347" s="529"/>
    </row>
    <row r="348" spans="1:31" ht="11.25" customHeight="1">
      <c r="B348" s="147" t="s">
        <v>1937</v>
      </c>
      <c r="C348" s="148"/>
      <c r="D348" s="1814"/>
      <c r="E348" s="1814"/>
      <c r="F348" s="1814"/>
      <c r="G348" s="1814"/>
      <c r="H348" s="1814"/>
      <c r="I348" s="1814"/>
      <c r="J348" s="1814"/>
      <c r="K348" s="1814"/>
      <c r="L348" s="1814"/>
      <c r="M348" s="1814"/>
      <c r="N348" s="1814"/>
      <c r="O348" s="1814"/>
      <c r="P348" s="1814"/>
      <c r="Q348" s="1814"/>
    </row>
    <row r="349" spans="1:31" ht="11.45" customHeight="1">
      <c r="A349" s="2121"/>
      <c r="B349" s="2122"/>
      <c r="C349" s="2122"/>
      <c r="D349" s="2122"/>
      <c r="E349" s="2122"/>
      <c r="F349" s="2122"/>
      <c r="G349" s="2122"/>
      <c r="H349" s="2122"/>
      <c r="I349" s="2122"/>
      <c r="J349" s="2122"/>
      <c r="K349" s="2122"/>
      <c r="L349" s="2122"/>
      <c r="M349" s="2122"/>
      <c r="N349" s="2122"/>
      <c r="O349" s="2122"/>
      <c r="P349" s="2122"/>
      <c r="Q349" s="2123"/>
    </row>
    <row r="350" spans="1:31" ht="2.25" customHeight="1">
      <c r="A350" s="1810"/>
      <c r="B350" s="1822"/>
      <c r="C350" s="1814"/>
      <c r="D350" s="1814"/>
      <c r="E350" s="1814"/>
      <c r="F350" s="1814"/>
      <c r="G350" s="1814"/>
      <c r="H350" s="1814"/>
      <c r="I350" s="1814"/>
      <c r="J350" s="1814"/>
      <c r="K350" s="1814"/>
      <c r="L350" s="1814"/>
      <c r="M350" s="1814"/>
      <c r="N350" s="1814"/>
      <c r="O350" s="1814"/>
      <c r="P350" s="1814"/>
      <c r="Q350" s="1219"/>
      <c r="R350" s="8"/>
      <c r="S350" s="8"/>
    </row>
    <row r="351" spans="1:31" ht="13.9" customHeight="1">
      <c r="A351" s="1818">
        <v>22</v>
      </c>
      <c r="B351" s="4" t="s">
        <v>2782</v>
      </c>
      <c r="C351" s="4"/>
      <c r="D351" s="4"/>
      <c r="E351" s="4"/>
      <c r="F351" s="4"/>
      <c r="G351" s="4"/>
      <c r="H351" s="1814"/>
      <c r="I351" s="1814"/>
      <c r="J351" s="1814"/>
      <c r="K351" s="1814"/>
      <c r="L351" s="1814"/>
      <c r="M351" s="1814"/>
      <c r="O351" s="142" t="s">
        <v>1938</v>
      </c>
      <c r="P351" s="2106"/>
      <c r="Q351" s="2107"/>
    </row>
    <row r="352" spans="1:31" ht="12" customHeight="1">
      <c r="B352" s="48" t="s">
        <v>2058</v>
      </c>
      <c r="C352" s="126" t="s">
        <v>2780</v>
      </c>
      <c r="D352" s="161"/>
      <c r="E352" s="161"/>
      <c r="F352" s="161"/>
      <c r="G352" s="161"/>
      <c r="H352" s="161"/>
      <c r="I352" s="43"/>
      <c r="J352" s="527" t="s">
        <v>2058</v>
      </c>
      <c r="K352" s="2915"/>
      <c r="L352" s="2916"/>
      <c r="M352" s="2916"/>
      <c r="N352" s="2916"/>
      <c r="O352" s="2916"/>
      <c r="P352" s="2917"/>
      <c r="Q352" s="629"/>
    </row>
    <row r="353" spans="1:32" ht="21.75" customHeight="1">
      <c r="B353" s="152" t="s">
        <v>2061</v>
      </c>
      <c r="C353" s="2138" t="s">
        <v>3891</v>
      </c>
      <c r="D353" s="2138"/>
      <c r="E353" s="2138"/>
      <c r="F353" s="2138"/>
      <c r="G353" s="2138"/>
      <c r="H353" s="2138"/>
      <c r="I353" s="2138"/>
      <c r="J353" s="2138"/>
      <c r="K353" s="2138"/>
      <c r="L353" s="2138"/>
      <c r="M353" s="2138"/>
      <c r="N353" s="2138"/>
      <c r="O353" s="174" t="s">
        <v>2061</v>
      </c>
      <c r="P353" s="2976"/>
      <c r="Q353" s="632"/>
    </row>
    <row r="354" spans="1:32" ht="21.75" customHeight="1">
      <c r="B354" s="152" t="s">
        <v>779</v>
      </c>
      <c r="C354" s="2099" t="s">
        <v>3892</v>
      </c>
      <c r="D354" s="2099"/>
      <c r="E354" s="2099"/>
      <c r="F354" s="2099"/>
      <c r="G354" s="2099"/>
      <c r="H354" s="2099"/>
      <c r="I354" s="2099"/>
      <c r="J354" s="2099"/>
      <c r="K354" s="2099"/>
      <c r="L354" s="2099"/>
      <c r="M354" s="2099"/>
      <c r="N354" s="2099"/>
      <c r="O354" s="174" t="s">
        <v>779</v>
      </c>
      <c r="P354" s="2939"/>
      <c r="Q354" s="636"/>
    </row>
    <row r="355" spans="1:32" ht="11.45" customHeight="1">
      <c r="B355" s="48" t="s">
        <v>2193</v>
      </c>
      <c r="C355" s="54" t="s">
        <v>2781</v>
      </c>
      <c r="D355" s="54"/>
      <c r="E355" s="54"/>
      <c r="F355" s="54"/>
      <c r="G355" s="54"/>
      <c r="H355" s="54"/>
      <c r="I355" s="54"/>
      <c r="J355" s="54"/>
      <c r="K355" s="54"/>
      <c r="L355" s="54"/>
      <c r="M355" s="54"/>
      <c r="O355" s="527" t="s">
        <v>2193</v>
      </c>
      <c r="P355" s="2938"/>
      <c r="Q355" s="633"/>
    </row>
    <row r="356" spans="1:32" s="143" customFormat="1" ht="21.75" customHeight="1">
      <c r="B356" s="152" t="s">
        <v>1801</v>
      </c>
      <c r="C356" s="2099" t="s">
        <v>3893</v>
      </c>
      <c r="D356" s="2099"/>
      <c r="E356" s="2099"/>
      <c r="F356" s="2099"/>
      <c r="G356" s="2099"/>
      <c r="H356" s="2099"/>
      <c r="I356" s="2099"/>
      <c r="J356" s="2099"/>
      <c r="K356" s="2099"/>
      <c r="L356" s="2099"/>
      <c r="M356" s="2099"/>
      <c r="N356" s="2099"/>
      <c r="O356" s="174" t="s">
        <v>1801</v>
      </c>
      <c r="P356" s="2989"/>
      <c r="Q356" s="1177"/>
      <c r="AE356" s="530"/>
      <c r="AF356" s="530"/>
    </row>
    <row r="357" spans="1:32" s="143" customFormat="1" ht="11.45" customHeight="1">
      <c r="B357" s="152" t="s">
        <v>1802</v>
      </c>
      <c r="C357" s="2099" t="s">
        <v>2783</v>
      </c>
      <c r="D357" s="2099"/>
      <c r="E357" s="2099"/>
      <c r="F357" s="2099"/>
      <c r="G357" s="2099"/>
      <c r="H357" s="2099"/>
      <c r="I357" s="2099"/>
      <c r="J357" s="2099"/>
      <c r="K357" s="2099"/>
      <c r="L357" s="2099"/>
      <c r="M357" s="2099"/>
      <c r="N357" s="2099"/>
      <c r="O357" s="174" t="s">
        <v>1802</v>
      </c>
      <c r="P357" s="2976"/>
      <c r="Q357" s="635"/>
      <c r="AE357" s="530"/>
      <c r="AF357" s="530"/>
    </row>
    <row r="358" spans="1:32" s="143" customFormat="1" ht="11.45" customHeight="1">
      <c r="B358" s="152"/>
      <c r="C358" s="232" t="s">
        <v>1803</v>
      </c>
      <c r="D358" s="1176" t="s">
        <v>3894</v>
      </c>
      <c r="E358" s="1814"/>
      <c r="F358" s="1814"/>
      <c r="G358" s="1814"/>
      <c r="H358" s="1814"/>
      <c r="I358" s="1814"/>
      <c r="J358" s="1814"/>
      <c r="K358" s="1814"/>
      <c r="L358" s="1814"/>
      <c r="M358" s="1814"/>
      <c r="N358" s="1814"/>
      <c r="O358" s="174"/>
      <c r="P358" s="2979"/>
      <c r="Q358" s="637"/>
      <c r="AE358" s="530"/>
      <c r="AF358" s="530"/>
    </row>
    <row r="359" spans="1:32" ht="21.75" customHeight="1">
      <c r="B359" s="152" t="s">
        <v>2021</v>
      </c>
      <c r="C359" s="2099" t="s">
        <v>3895</v>
      </c>
      <c r="D359" s="2099"/>
      <c r="E359" s="2099"/>
      <c r="F359" s="2099"/>
      <c r="G359" s="2099"/>
      <c r="H359" s="2099"/>
      <c r="I359" s="2099"/>
      <c r="J359" s="2099"/>
      <c r="K359" s="2099"/>
      <c r="L359" s="2099"/>
      <c r="M359" s="2099"/>
      <c r="N359" s="2099"/>
      <c r="O359" s="174" t="s">
        <v>2021</v>
      </c>
      <c r="P359" s="2976"/>
      <c r="Q359" s="635"/>
    </row>
    <row r="360" spans="1:32" ht="33" customHeight="1">
      <c r="B360" s="152" t="s">
        <v>3560</v>
      </c>
      <c r="C360" s="2150" t="s">
        <v>3896</v>
      </c>
      <c r="D360" s="2150"/>
      <c r="E360" s="2150"/>
      <c r="F360" s="2150"/>
      <c r="G360" s="2150"/>
      <c r="H360" s="2150"/>
      <c r="I360" s="2150"/>
      <c r="J360" s="2150"/>
      <c r="K360" s="2150"/>
      <c r="L360" s="2150"/>
      <c r="M360" s="2150"/>
      <c r="N360" s="2150"/>
      <c r="O360" s="174" t="s">
        <v>3560</v>
      </c>
      <c r="P360" s="2979"/>
      <c r="Q360" s="637"/>
    </row>
    <row r="361" spans="1:32" ht="11.25" customHeight="1">
      <c r="B361" s="151" t="s">
        <v>1936</v>
      </c>
      <c r="D361" s="151"/>
      <c r="E361" s="151"/>
      <c r="F361" s="151"/>
      <c r="G361" s="151"/>
      <c r="H361" s="41"/>
      <c r="I361" s="1822"/>
      <c r="J361" s="1822"/>
      <c r="K361" s="1822"/>
      <c r="L361" s="1810"/>
      <c r="M361" s="1810"/>
      <c r="N361" s="1810"/>
      <c r="O361" s="1810"/>
      <c r="P361" s="1810"/>
      <c r="Q361" s="1219"/>
    </row>
    <row r="362" spans="1:32" ht="11.45" customHeight="1">
      <c r="A362" s="2900"/>
      <c r="B362" s="2901"/>
      <c r="C362" s="2901"/>
      <c r="D362" s="2901"/>
      <c r="E362" s="2901"/>
      <c r="F362" s="2901"/>
      <c r="G362" s="2901"/>
      <c r="H362" s="2901"/>
      <c r="I362" s="2901"/>
      <c r="J362" s="2901"/>
      <c r="K362" s="2901"/>
      <c r="L362" s="2901"/>
      <c r="M362" s="2901"/>
      <c r="N362" s="2901"/>
      <c r="O362" s="2901"/>
      <c r="P362" s="2901"/>
      <c r="Q362" s="2902"/>
      <c r="U362" s="146"/>
      <c r="V362" s="146"/>
      <c r="W362" s="146"/>
      <c r="X362" s="146"/>
      <c r="Y362" s="146"/>
      <c r="Z362" s="146"/>
      <c r="AA362" s="146"/>
      <c r="AB362" s="146"/>
      <c r="AC362" s="146"/>
      <c r="AD362" s="146"/>
      <c r="AE362" s="529"/>
    </row>
    <row r="363" spans="1:32" ht="11.25" customHeight="1">
      <c r="B363" s="147" t="s">
        <v>1937</v>
      </c>
      <c r="C363" s="148"/>
      <c r="D363" s="1814"/>
      <c r="E363" s="1814"/>
      <c r="F363" s="1814"/>
      <c r="G363" s="1814"/>
      <c r="H363" s="1814"/>
      <c r="I363" s="1814"/>
      <c r="J363" s="1814"/>
      <c r="K363" s="1814"/>
      <c r="L363" s="1814"/>
      <c r="M363" s="1814"/>
      <c r="N363" s="1814"/>
      <c r="O363" s="1814"/>
      <c r="P363" s="1814"/>
      <c r="Q363" s="1814"/>
    </row>
    <row r="364" spans="1:32" ht="11.45" customHeight="1">
      <c r="A364" s="2121"/>
      <c r="B364" s="2122"/>
      <c r="C364" s="2122"/>
      <c r="D364" s="2122"/>
      <c r="E364" s="2122"/>
      <c r="F364" s="2122"/>
      <c r="G364" s="2122"/>
      <c r="H364" s="2122"/>
      <c r="I364" s="2122"/>
      <c r="J364" s="2122"/>
      <c r="K364" s="2122"/>
      <c r="L364" s="2122"/>
      <c r="M364" s="2122"/>
      <c r="N364" s="2122"/>
      <c r="O364" s="2122"/>
      <c r="P364" s="2122"/>
      <c r="Q364" s="2123"/>
    </row>
    <row r="365" spans="1:32" ht="3" customHeight="1">
      <c r="A365" s="1810"/>
      <c r="B365" s="1822"/>
      <c r="C365" s="1814"/>
      <c r="D365" s="1814"/>
      <c r="E365" s="1814"/>
      <c r="F365" s="1814"/>
      <c r="G365" s="1814"/>
      <c r="H365" s="1814"/>
      <c r="I365" s="1814"/>
      <c r="J365" s="1814"/>
      <c r="K365" s="1814"/>
      <c r="L365" s="1814"/>
      <c r="M365" s="1814"/>
      <c r="Q365" s="1219"/>
    </row>
    <row r="366" spans="1:32" ht="13.9" customHeight="1">
      <c r="A366" s="1818">
        <v>23</v>
      </c>
      <c r="B366" s="4" t="s">
        <v>2784</v>
      </c>
      <c r="C366" s="4"/>
      <c r="D366" s="4"/>
      <c r="E366" s="4"/>
      <c r="F366" s="4"/>
      <c r="G366" s="4"/>
      <c r="H366" s="1814"/>
      <c r="I366" s="1814"/>
      <c r="J366" s="1814"/>
      <c r="O366" s="142" t="s">
        <v>1938</v>
      </c>
      <c r="P366" s="2106"/>
      <c r="Q366" s="2107"/>
    </row>
    <row r="367" spans="1:32" ht="11.45" customHeight="1">
      <c r="B367" s="48" t="s">
        <v>2058</v>
      </c>
      <c r="C367" s="126" t="s">
        <v>1071</v>
      </c>
      <c r="E367" s="2940"/>
      <c r="F367" s="2941"/>
      <c r="G367" s="2941"/>
      <c r="H367" s="2941"/>
      <c r="I367" s="2942"/>
      <c r="J367" s="2127" t="s">
        <v>2765</v>
      </c>
      <c r="K367" s="2128"/>
      <c r="L367" s="2129"/>
      <c r="M367" s="2940"/>
      <c r="N367" s="2941"/>
      <c r="O367" s="2941"/>
      <c r="P367" s="2941"/>
      <c r="Q367" s="2942"/>
    </row>
    <row r="368" spans="1:32" ht="11.45" customHeight="1">
      <c r="B368" s="48" t="s">
        <v>2061</v>
      </c>
      <c r="C368" s="54" t="s">
        <v>3721</v>
      </c>
      <c r="D368" s="54"/>
      <c r="E368" s="54"/>
      <c r="F368" s="54"/>
      <c r="G368" s="54"/>
      <c r="H368" s="54"/>
      <c r="I368" s="54"/>
      <c r="J368" s="54"/>
      <c r="K368" s="54"/>
      <c r="L368" s="1220"/>
      <c r="M368" s="1220"/>
      <c r="O368" s="527" t="s">
        <v>2061</v>
      </c>
      <c r="P368" s="2935"/>
      <c r="Q368" s="632"/>
    </row>
    <row r="369" spans="1:31" ht="22.5" customHeight="1">
      <c r="B369" s="152" t="s">
        <v>779</v>
      </c>
      <c r="C369" s="2138" t="s">
        <v>3738</v>
      </c>
      <c r="D369" s="2138"/>
      <c r="E369" s="2138"/>
      <c r="F369" s="2138"/>
      <c r="G369" s="2138"/>
      <c r="H369" s="2138"/>
      <c r="I369" s="2138"/>
      <c r="J369" s="2138"/>
      <c r="K369" s="2138"/>
      <c r="L369" s="2138"/>
      <c r="M369" s="2138"/>
      <c r="N369" s="2138"/>
      <c r="O369" s="527" t="s">
        <v>779</v>
      </c>
      <c r="P369" s="2936"/>
      <c r="Q369" s="634"/>
    </row>
    <row r="370" spans="1:31">
      <c r="B370" s="48" t="s">
        <v>2193</v>
      </c>
      <c r="C370" s="57" t="s">
        <v>4156</v>
      </c>
      <c r="G370" s="1815"/>
      <c r="H370" s="1815"/>
      <c r="I370" s="1815"/>
      <c r="J370" s="1220" t="s">
        <v>4157</v>
      </c>
      <c r="L370" s="1815"/>
      <c r="M370" s="2146">
        <f>'Part III-Sources of Funds'!E10</f>
        <v>0</v>
      </c>
      <c r="N370" s="2147"/>
      <c r="O370" s="527" t="s">
        <v>2193</v>
      </c>
      <c r="P370" s="2936"/>
      <c r="Q370" s="634"/>
    </row>
    <row r="371" spans="1:31" ht="11.25" customHeight="1">
      <c r="B371" s="151" t="s">
        <v>1936</v>
      </c>
      <c r="D371" s="151"/>
      <c r="E371" s="151"/>
      <c r="F371" s="151"/>
      <c r="G371" s="151"/>
      <c r="H371" s="41"/>
      <c r="I371" s="1822"/>
      <c r="J371" s="1822"/>
      <c r="K371" s="1822"/>
      <c r="L371" s="1810"/>
      <c r="M371" s="1810"/>
      <c r="N371" s="1810"/>
      <c r="O371" s="1810"/>
      <c r="P371" s="1810"/>
      <c r="Q371" s="1219"/>
    </row>
    <row r="372" spans="1:31" ht="11.45" customHeight="1">
      <c r="A372" s="2900"/>
      <c r="B372" s="2901"/>
      <c r="C372" s="2901"/>
      <c r="D372" s="2901"/>
      <c r="E372" s="2901"/>
      <c r="F372" s="2901"/>
      <c r="G372" s="2901"/>
      <c r="H372" s="2901"/>
      <c r="I372" s="2901"/>
      <c r="J372" s="2901"/>
      <c r="K372" s="2901"/>
      <c r="L372" s="2901"/>
      <c r="M372" s="2901"/>
      <c r="N372" s="2901"/>
      <c r="O372" s="2901"/>
      <c r="P372" s="2901"/>
      <c r="Q372" s="2902"/>
      <c r="U372" s="146"/>
      <c r="V372" s="146"/>
      <c r="W372" s="146"/>
      <c r="X372" s="146"/>
      <c r="Y372" s="146"/>
      <c r="Z372" s="146"/>
      <c r="AA372" s="146"/>
      <c r="AB372" s="146"/>
      <c r="AC372" s="146"/>
      <c r="AD372" s="146"/>
      <c r="AE372" s="529"/>
    </row>
    <row r="373" spans="1:31" ht="11.25" customHeight="1">
      <c r="B373" s="147" t="s">
        <v>1937</v>
      </c>
      <c r="C373" s="148"/>
      <c r="D373" s="1814"/>
      <c r="E373" s="1814"/>
      <c r="F373" s="1814"/>
      <c r="G373" s="1814"/>
      <c r="H373" s="1814"/>
      <c r="I373" s="1814"/>
      <c r="J373" s="1814"/>
      <c r="K373" s="1814"/>
      <c r="L373" s="1814"/>
      <c r="M373" s="1814"/>
      <c r="N373" s="1814"/>
      <c r="O373" s="1814"/>
      <c r="P373" s="1814"/>
      <c r="Q373" s="1814"/>
    </row>
    <row r="374" spans="1:31" ht="11.45" customHeight="1">
      <c r="A374" s="2121"/>
      <c r="B374" s="2122"/>
      <c r="C374" s="2122"/>
      <c r="D374" s="2122"/>
      <c r="E374" s="2122"/>
      <c r="F374" s="2122"/>
      <c r="G374" s="2122"/>
      <c r="H374" s="2122"/>
      <c r="I374" s="2122"/>
      <c r="J374" s="2122"/>
      <c r="K374" s="2122"/>
      <c r="L374" s="2122"/>
      <c r="M374" s="2122"/>
      <c r="N374" s="2122"/>
      <c r="O374" s="2122"/>
      <c r="P374" s="2122"/>
      <c r="Q374" s="2123"/>
    </row>
    <row r="375" spans="1:31" ht="3.6" customHeight="1">
      <c r="A375" s="1810"/>
      <c r="B375" s="1822"/>
      <c r="C375" s="1814"/>
      <c r="D375" s="1814"/>
      <c r="E375" s="1814"/>
      <c r="F375" s="1814"/>
      <c r="G375" s="1814"/>
      <c r="H375" s="1814"/>
      <c r="I375" s="1814"/>
      <c r="J375" s="1814"/>
      <c r="K375" s="1814"/>
      <c r="L375" s="1814"/>
      <c r="M375" s="1814"/>
      <c r="Q375" s="1219"/>
    </row>
    <row r="376" spans="1:31" ht="13.9" customHeight="1">
      <c r="A376" s="1818">
        <v>24</v>
      </c>
      <c r="B376" s="4" t="s">
        <v>2762</v>
      </c>
      <c r="C376" s="4"/>
      <c r="D376" s="4"/>
      <c r="E376" s="1814"/>
      <c r="G376" s="150" t="s">
        <v>729</v>
      </c>
      <c r="H376" s="1814"/>
      <c r="I376" s="1814"/>
      <c r="J376" s="1814"/>
      <c r="K376" s="1814"/>
      <c r="L376" s="1814"/>
      <c r="M376" s="1814"/>
      <c r="O376" s="142" t="s">
        <v>1938</v>
      </c>
      <c r="P376" s="2106"/>
      <c r="Q376" s="2137"/>
    </row>
    <row r="377" spans="1:31" ht="12" customHeight="1">
      <c r="A377" s="154"/>
      <c r="B377" s="48" t="s">
        <v>2058</v>
      </c>
      <c r="C377" s="54" t="s">
        <v>2767</v>
      </c>
      <c r="D377" s="1221"/>
      <c r="E377" s="1221"/>
      <c r="H377" s="150"/>
      <c r="O377" s="527" t="s">
        <v>2058</v>
      </c>
      <c r="P377" s="2935" t="s">
        <v>3154</v>
      </c>
      <c r="Q377" s="632"/>
    </row>
    <row r="378" spans="1:31" ht="12" customHeight="1">
      <c r="A378" s="154"/>
      <c r="B378" s="48" t="s">
        <v>2061</v>
      </c>
      <c r="C378" s="54" t="s">
        <v>3897</v>
      </c>
      <c r="D378" s="1221"/>
      <c r="E378" s="1221"/>
      <c r="O378" s="527" t="s">
        <v>2061</v>
      </c>
      <c r="P378" s="2938" t="s">
        <v>3157</v>
      </c>
      <c r="Q378" s="633"/>
    </row>
    <row r="379" spans="1:31" ht="12" customHeight="1">
      <c r="A379" s="154"/>
      <c r="B379" s="48" t="s">
        <v>779</v>
      </c>
      <c r="C379" s="54" t="s">
        <v>3898</v>
      </c>
      <c r="D379" s="1221"/>
      <c r="E379" s="1221"/>
      <c r="O379" s="527" t="s">
        <v>779</v>
      </c>
      <c r="P379" s="2938" t="s">
        <v>3157</v>
      </c>
      <c r="Q379" s="633"/>
    </row>
    <row r="380" spans="1:31" ht="12" customHeight="1">
      <c r="A380" s="154"/>
      <c r="B380" s="48" t="s">
        <v>2193</v>
      </c>
      <c r="C380" s="54" t="s">
        <v>3899</v>
      </c>
      <c r="E380" s="150"/>
      <c r="O380" s="527" t="s">
        <v>2193</v>
      </c>
      <c r="P380" s="2938" t="s">
        <v>3157</v>
      </c>
      <c r="Q380" s="633"/>
    </row>
    <row r="381" spans="1:31" ht="12" customHeight="1">
      <c r="B381" s="48" t="s">
        <v>1801</v>
      </c>
      <c r="C381" s="54" t="s">
        <v>2157</v>
      </c>
      <c r="E381" s="150"/>
      <c r="G381" s="527" t="s">
        <v>1801</v>
      </c>
      <c r="H381" s="2990"/>
      <c r="I381" s="2991"/>
      <c r="J381" s="2991"/>
      <c r="K381" s="2991"/>
      <c r="L381" s="2991"/>
      <c r="M381" s="2991"/>
      <c r="N381" s="2991"/>
      <c r="O381" s="2992"/>
      <c r="P381" s="2936"/>
      <c r="Q381" s="634"/>
    </row>
    <row r="382" spans="1:31" ht="11.25" customHeight="1">
      <c r="B382" s="151" t="s">
        <v>1936</v>
      </c>
      <c r="D382" s="151"/>
      <c r="E382" s="151"/>
      <c r="F382" s="151"/>
      <c r="G382" s="151"/>
      <c r="H382" s="41"/>
      <c r="I382" s="1822"/>
      <c r="J382" s="1822"/>
      <c r="K382" s="1822"/>
      <c r="L382" s="1810"/>
      <c r="M382" s="1810"/>
      <c r="N382" s="1810"/>
      <c r="O382" s="1810"/>
      <c r="P382" s="1810"/>
      <c r="Q382" s="1219"/>
    </row>
    <row r="383" spans="1:31" ht="11.45" customHeight="1">
      <c r="A383" s="2900" t="s">
        <v>4395</v>
      </c>
      <c r="B383" s="2901"/>
      <c r="C383" s="2901"/>
      <c r="D383" s="2901"/>
      <c r="E383" s="2901"/>
      <c r="F383" s="2901"/>
      <c r="G383" s="2901"/>
      <c r="H383" s="2901"/>
      <c r="I383" s="2901"/>
      <c r="J383" s="2901"/>
      <c r="K383" s="2901"/>
      <c r="L383" s="2901"/>
      <c r="M383" s="2901"/>
      <c r="N383" s="2901"/>
      <c r="O383" s="2901"/>
      <c r="P383" s="2901"/>
      <c r="Q383" s="2902"/>
      <c r="U383" s="146"/>
      <c r="V383" s="146"/>
      <c r="W383" s="146"/>
      <c r="X383" s="146"/>
      <c r="Y383" s="146"/>
      <c r="Z383" s="146"/>
      <c r="AA383" s="146"/>
      <c r="AB383" s="146"/>
      <c r="AC383" s="146"/>
      <c r="AD383" s="146"/>
      <c r="AE383" s="529"/>
    </row>
    <row r="384" spans="1:31" ht="11.25" customHeight="1">
      <c r="B384" s="147" t="s">
        <v>1937</v>
      </c>
      <c r="C384" s="148"/>
      <c r="D384" s="1814"/>
      <c r="E384" s="1814"/>
      <c r="F384" s="1814"/>
      <c r="G384" s="1814"/>
      <c r="H384" s="1814"/>
      <c r="I384" s="1814"/>
      <c r="J384" s="1814"/>
      <c r="K384" s="1814"/>
      <c r="L384" s="1814"/>
      <c r="M384" s="1814"/>
      <c r="N384" s="1814"/>
      <c r="O384" s="1814"/>
      <c r="P384" s="1814"/>
      <c r="Q384" s="1814"/>
    </row>
    <row r="385" spans="1:32" ht="11.45" customHeight="1">
      <c r="A385" s="2121"/>
      <c r="B385" s="2122"/>
      <c r="C385" s="2122"/>
      <c r="D385" s="2122"/>
      <c r="E385" s="2122"/>
      <c r="F385" s="2122"/>
      <c r="G385" s="2122"/>
      <c r="H385" s="2122"/>
      <c r="I385" s="2122"/>
      <c r="J385" s="2122"/>
      <c r="K385" s="2122"/>
      <c r="L385" s="2122"/>
      <c r="M385" s="2122"/>
      <c r="N385" s="2122"/>
      <c r="O385" s="2122"/>
      <c r="P385" s="2122"/>
      <c r="Q385" s="2123"/>
    </row>
    <row r="386" spans="1:32" ht="3" customHeight="1">
      <c r="A386" s="1810"/>
      <c r="B386" s="1822"/>
      <c r="C386" s="1814"/>
      <c r="D386" s="1814"/>
      <c r="E386" s="1814"/>
      <c r="F386" s="1814"/>
      <c r="G386" s="1814"/>
      <c r="H386" s="1814"/>
      <c r="I386" s="1814"/>
      <c r="J386" s="1814"/>
      <c r="K386" s="1814"/>
      <c r="L386" s="1814"/>
      <c r="M386" s="1814"/>
      <c r="N386" s="1814"/>
      <c r="O386" s="1814"/>
      <c r="P386" s="1814"/>
      <c r="Q386" s="1810"/>
    </row>
    <row r="387" spans="1:32" ht="13.9" customHeight="1">
      <c r="A387" s="1818">
        <v>25</v>
      </c>
      <c r="B387" s="4" t="s">
        <v>2763</v>
      </c>
      <c r="C387" s="4"/>
      <c r="D387" s="4"/>
      <c r="E387" s="4"/>
      <c r="F387" s="4"/>
      <c r="G387" s="4"/>
      <c r="H387" s="1814"/>
      <c r="I387" s="1814"/>
      <c r="J387" s="1814"/>
      <c r="K387" s="1814"/>
      <c r="L387" s="1814"/>
      <c r="M387" s="1814"/>
      <c r="O387" s="142" t="s">
        <v>1938</v>
      </c>
      <c r="P387" s="2106"/>
      <c r="Q387" s="2137"/>
    </row>
    <row r="388" spans="1:32" ht="12" customHeight="1">
      <c r="A388" s="43"/>
      <c r="B388" s="48" t="s">
        <v>2058</v>
      </c>
      <c r="C388" s="40" t="s">
        <v>782</v>
      </c>
      <c r="D388" s="43"/>
      <c r="E388" s="43"/>
      <c r="F388" s="43"/>
      <c r="G388" s="43"/>
      <c r="H388" s="43"/>
      <c r="I388" s="43"/>
      <c r="J388" s="43"/>
      <c r="K388" s="43"/>
      <c r="L388" s="43"/>
      <c r="M388" s="43"/>
      <c r="N388" s="43"/>
      <c r="O388" s="527" t="s">
        <v>2058</v>
      </c>
      <c r="P388" s="2935" t="s">
        <v>3154</v>
      </c>
      <c r="Q388" s="632"/>
    </row>
    <row r="389" spans="1:32" ht="12" customHeight="1">
      <c r="A389" s="43"/>
      <c r="B389" s="48" t="s">
        <v>2061</v>
      </c>
      <c r="C389" s="37" t="s">
        <v>3742</v>
      </c>
      <c r="D389" s="43"/>
      <c r="E389" s="43"/>
      <c r="F389" s="43"/>
      <c r="G389" s="43"/>
      <c r="H389" s="43"/>
      <c r="I389" s="43"/>
      <c r="J389" s="43"/>
      <c r="K389" s="43"/>
      <c r="L389" s="43"/>
      <c r="M389" s="43"/>
      <c r="N389" s="43"/>
      <c r="O389" s="527" t="s">
        <v>1502</v>
      </c>
      <c r="P389" s="2936" t="s">
        <v>3154</v>
      </c>
      <c r="Q389" s="634"/>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7" t="s">
        <v>1804</v>
      </c>
      <c r="P391" s="2935" t="s">
        <v>3157</v>
      </c>
      <c r="Q391" s="632"/>
    </row>
    <row r="392" spans="1:32" s="158" customFormat="1" ht="12" customHeight="1">
      <c r="A392" s="100"/>
      <c r="B392" s="48"/>
      <c r="C392" s="54" t="s">
        <v>3858</v>
      </c>
      <c r="D392" s="54" t="s">
        <v>3859</v>
      </c>
      <c r="E392" s="54"/>
      <c r="F392" s="54"/>
      <c r="G392" s="54"/>
      <c r="H392" s="54"/>
      <c r="I392" s="54"/>
      <c r="J392" s="54"/>
      <c r="K392" s="54"/>
      <c r="L392" s="54"/>
      <c r="M392" s="54"/>
      <c r="N392" s="100"/>
      <c r="O392" s="527" t="s">
        <v>1805</v>
      </c>
      <c r="P392" s="2978" t="s">
        <v>3154</v>
      </c>
      <c r="Q392" s="630"/>
      <c r="AE392" s="531"/>
      <c r="AF392" s="531"/>
    </row>
    <row r="393" spans="1:32" ht="12" customHeight="1">
      <c r="A393" s="43"/>
      <c r="B393" s="48" t="s">
        <v>779</v>
      </c>
      <c r="C393" s="2138" t="s">
        <v>2280</v>
      </c>
      <c r="D393" s="2138"/>
      <c r="E393" s="2138"/>
      <c r="F393" s="2138"/>
      <c r="G393" s="2138"/>
      <c r="H393" s="2138"/>
      <c r="I393" s="2138"/>
      <c r="J393" s="2138"/>
      <c r="K393" s="2138"/>
      <c r="L393" s="2138"/>
      <c r="M393" s="2138"/>
      <c r="N393" s="2138"/>
      <c r="O393" s="527" t="s">
        <v>779</v>
      </c>
      <c r="P393" s="2936" t="s">
        <v>3154</v>
      </c>
      <c r="Q393" s="634"/>
    </row>
    <row r="394" spans="1:32" ht="12" customHeight="1">
      <c r="A394" s="43"/>
      <c r="B394" s="48" t="s">
        <v>2193</v>
      </c>
      <c r="C394" s="1220" t="s">
        <v>2939</v>
      </c>
      <c r="D394" s="1220"/>
      <c r="E394" s="1220"/>
      <c r="F394" s="1220"/>
      <c r="G394" s="1220"/>
      <c r="H394" s="1220"/>
      <c r="I394" s="1220"/>
      <c r="J394" s="1220"/>
      <c r="K394" s="1220"/>
      <c r="L394" s="1220"/>
      <c r="M394" s="1220"/>
      <c r="N394" s="43"/>
      <c r="O394" s="527"/>
      <c r="P394" s="43"/>
      <c r="Q394" s="43"/>
    </row>
    <row r="395" spans="1:32" ht="12" customHeight="1">
      <c r="A395" s="43"/>
      <c r="B395" s="48"/>
      <c r="C395" s="145" t="s">
        <v>2281</v>
      </c>
      <c r="D395" s="37"/>
      <c r="E395" s="43"/>
      <c r="F395" s="1220"/>
      <c r="G395" s="2993">
        <v>0</v>
      </c>
      <c r="H395" s="646"/>
      <c r="J395" s="145" t="s">
        <v>2284</v>
      </c>
      <c r="K395" s="1220"/>
      <c r="N395" s="2993">
        <v>2</v>
      </c>
      <c r="O395" s="646"/>
    </row>
    <row r="396" spans="1:32" ht="12" customHeight="1">
      <c r="A396" s="43"/>
      <c r="B396" s="48"/>
      <c r="C396" s="145" t="s">
        <v>2282</v>
      </c>
      <c r="D396" s="37"/>
      <c r="E396" s="43"/>
      <c r="F396" s="1220"/>
      <c r="G396" s="2994">
        <v>0</v>
      </c>
      <c r="H396" s="647"/>
      <c r="J396" s="145" t="s">
        <v>2285</v>
      </c>
      <c r="K396" s="1220"/>
      <c r="N396" s="2995">
        <v>10</v>
      </c>
      <c r="O396" s="648"/>
    </row>
    <row r="397" spans="1:32" ht="12" customHeight="1">
      <c r="A397" s="43"/>
      <c r="B397" s="48"/>
      <c r="C397" s="145" t="s">
        <v>2283</v>
      </c>
      <c r="D397" s="37"/>
      <c r="E397" s="43"/>
      <c r="F397" s="1220"/>
      <c r="G397" s="2995">
        <v>107</v>
      </c>
      <c r="H397" s="648"/>
      <c r="K397" s="1220"/>
      <c r="L397" s="1220"/>
      <c r="M397" s="1220"/>
      <c r="N397" s="43"/>
      <c r="O397" s="527"/>
    </row>
    <row r="398" spans="1:32" ht="12" customHeight="1">
      <c r="A398" s="43"/>
      <c r="B398" s="48" t="s">
        <v>1801</v>
      </c>
      <c r="C398" s="1220" t="s">
        <v>2470</v>
      </c>
      <c r="D398" s="1220"/>
      <c r="E398" s="1220"/>
      <c r="F398" s="1220"/>
      <c r="G398" s="1220"/>
      <c r="J398" s="43"/>
      <c r="K398" s="1220"/>
      <c r="L398" s="1220"/>
      <c r="M398" s="1220"/>
      <c r="N398" s="43"/>
      <c r="O398" s="527"/>
      <c r="P398" s="527"/>
      <c r="Q398" s="527"/>
    </row>
    <row r="399" spans="1:32" ht="12" customHeight="1">
      <c r="A399" s="43"/>
      <c r="B399" s="48"/>
      <c r="C399" s="485" t="s">
        <v>2286</v>
      </c>
      <c r="D399" s="1220"/>
      <c r="E399" s="1220"/>
      <c r="F399" s="1220"/>
      <c r="G399" s="2935" t="s">
        <v>3154</v>
      </c>
      <c r="H399" s="632"/>
      <c r="J399" s="485" t="s">
        <v>1225</v>
      </c>
      <c r="K399" s="1220"/>
      <c r="N399" s="2978" t="s">
        <v>3154</v>
      </c>
      <c r="O399" s="630"/>
    </row>
    <row r="400" spans="1:32" ht="12" customHeight="1">
      <c r="A400" s="43"/>
      <c r="B400" s="48"/>
      <c r="C400" s="485" t="s">
        <v>1224</v>
      </c>
      <c r="D400" s="1220"/>
      <c r="E400" s="1220"/>
      <c r="F400" s="1220"/>
      <c r="G400" s="2936" t="s">
        <v>3154</v>
      </c>
      <c r="H400" s="634"/>
      <c r="J400" s="485" t="s">
        <v>2333</v>
      </c>
      <c r="N400" s="2996"/>
      <c r="O400" s="2997"/>
      <c r="P400" s="2997"/>
      <c r="Q400" s="2998"/>
    </row>
    <row r="401" spans="1:32" ht="12" customHeight="1">
      <c r="B401" s="151" t="s">
        <v>1936</v>
      </c>
      <c r="D401" s="151"/>
      <c r="E401" s="151"/>
      <c r="F401" s="151"/>
      <c r="G401" s="151"/>
      <c r="H401" s="41"/>
      <c r="I401" s="1822"/>
      <c r="J401" s="1822"/>
      <c r="K401" s="1822"/>
      <c r="P401" s="1810"/>
      <c r="Q401" s="1219"/>
    </row>
    <row r="402" spans="1:32" ht="12" customHeight="1">
      <c r="A402" s="2900" t="s">
        <v>4396</v>
      </c>
      <c r="B402" s="2901"/>
      <c r="C402" s="2901"/>
      <c r="D402" s="2901"/>
      <c r="E402" s="2901"/>
      <c r="F402" s="2901"/>
      <c r="G402" s="2901"/>
      <c r="H402" s="2901"/>
      <c r="I402" s="2901"/>
      <c r="J402" s="2901"/>
      <c r="K402" s="2901"/>
      <c r="L402" s="2901"/>
      <c r="M402" s="2901"/>
      <c r="N402" s="2901"/>
      <c r="O402" s="2901"/>
      <c r="P402" s="2901"/>
      <c r="Q402" s="2902"/>
      <c r="U402" s="146"/>
      <c r="V402" s="146"/>
      <c r="W402" s="146"/>
      <c r="X402" s="146"/>
      <c r="Y402" s="146"/>
      <c r="Z402" s="146"/>
      <c r="AA402" s="146"/>
      <c r="AB402" s="146"/>
      <c r="AC402" s="146"/>
      <c r="AD402" s="146"/>
      <c r="AE402" s="529"/>
    </row>
    <row r="403" spans="1:32" ht="12" customHeight="1">
      <c r="B403" s="147" t="s">
        <v>1937</v>
      </c>
      <c r="C403" s="148"/>
      <c r="D403" s="1814"/>
      <c r="E403" s="1814"/>
      <c r="F403" s="1814"/>
      <c r="G403" s="1814"/>
      <c r="H403" s="1814"/>
      <c r="I403" s="1814"/>
      <c r="J403" s="1814"/>
      <c r="K403" s="1814"/>
      <c r="L403" s="1814"/>
      <c r="M403" s="1814"/>
      <c r="N403" s="1814"/>
      <c r="O403" s="1814"/>
      <c r="P403" s="1814"/>
      <c r="Q403" s="1814"/>
    </row>
    <row r="404" spans="1:32" ht="12" customHeight="1">
      <c r="A404" s="2121"/>
      <c r="B404" s="2122"/>
      <c r="C404" s="2122"/>
      <c r="D404" s="2122"/>
      <c r="E404" s="2122"/>
      <c r="F404" s="2122"/>
      <c r="G404" s="2122"/>
      <c r="H404" s="2122"/>
      <c r="I404" s="2122"/>
      <c r="J404" s="2122"/>
      <c r="K404" s="2122"/>
      <c r="L404" s="2122"/>
      <c r="M404" s="2122"/>
      <c r="N404" s="2122"/>
      <c r="O404" s="2122"/>
      <c r="P404" s="2122"/>
      <c r="Q404" s="2123"/>
    </row>
    <row r="405" spans="1:32" ht="3" customHeight="1">
      <c r="A405" s="1810"/>
      <c r="B405" s="1822"/>
      <c r="C405" s="1814"/>
      <c r="D405" s="1814"/>
      <c r="E405" s="1814"/>
      <c r="F405" s="1814"/>
      <c r="G405" s="1814"/>
      <c r="H405" s="1814"/>
      <c r="I405" s="1814"/>
      <c r="J405" s="1814"/>
      <c r="K405" s="1814"/>
      <c r="L405" s="1814"/>
      <c r="M405" s="1814"/>
      <c r="Q405" s="1219"/>
    </row>
    <row r="406" spans="1:32" ht="13.9" customHeight="1">
      <c r="A406" s="1818">
        <v>26</v>
      </c>
      <c r="B406" s="4" t="s">
        <v>2940</v>
      </c>
      <c r="C406" s="4"/>
      <c r="D406" s="92"/>
      <c r="E406" s="1814"/>
      <c r="F406" s="1814"/>
      <c r="G406" s="1814"/>
      <c r="H406" s="1814"/>
      <c r="O406" s="142" t="s">
        <v>1938</v>
      </c>
      <c r="P406" s="2106"/>
      <c r="Q406" s="2107"/>
    </row>
    <row r="407" spans="1:32" ht="13.9" customHeight="1">
      <c r="A407" s="1818"/>
      <c r="B407" s="92" t="s">
        <v>3562</v>
      </c>
      <c r="C407" s="4"/>
      <c r="D407" s="92"/>
      <c r="E407" s="1814"/>
      <c r="F407" s="1814"/>
      <c r="G407" s="1814"/>
      <c r="H407" s="1814"/>
    </row>
    <row r="408" spans="1:32" s="143" customFormat="1" ht="21.75" customHeight="1">
      <c r="B408" s="152" t="s">
        <v>2058</v>
      </c>
      <c r="C408" s="2124" t="s">
        <v>3563</v>
      </c>
      <c r="D408" s="2124"/>
      <c r="E408" s="2124"/>
      <c r="F408" s="2124"/>
      <c r="G408" s="2124"/>
      <c r="H408" s="2124"/>
      <c r="I408" s="2124"/>
      <c r="J408" s="2124"/>
      <c r="K408" s="2124"/>
      <c r="L408" s="2124"/>
      <c r="M408" s="2124"/>
      <c r="N408" s="2124"/>
      <c r="O408" s="174" t="s">
        <v>2058</v>
      </c>
      <c r="P408" s="2976" t="s">
        <v>4362</v>
      </c>
      <c r="Q408" s="635"/>
      <c r="AE408" s="530"/>
      <c r="AF408" s="530"/>
    </row>
    <row r="409" spans="1:32" s="143" customFormat="1">
      <c r="B409" s="152" t="s">
        <v>2061</v>
      </c>
      <c r="C409" s="2124" t="s">
        <v>3740</v>
      </c>
      <c r="D409" s="2124"/>
      <c r="E409" s="2124"/>
      <c r="F409" s="2124"/>
      <c r="G409" s="2124"/>
      <c r="H409" s="2124"/>
      <c r="I409" s="2124"/>
      <c r="J409" s="2124"/>
      <c r="K409" s="2124"/>
      <c r="L409" s="2124"/>
      <c r="M409" s="2124"/>
      <c r="N409" s="2124"/>
      <c r="O409" s="174" t="s">
        <v>2061</v>
      </c>
      <c r="P409" s="2939" t="s">
        <v>4362</v>
      </c>
      <c r="Q409" s="636"/>
      <c r="AE409" s="530"/>
      <c r="AF409" s="530"/>
    </row>
    <row r="410" spans="1:32" s="143" customFormat="1">
      <c r="B410" s="152" t="s">
        <v>779</v>
      </c>
      <c r="C410" s="2124" t="s">
        <v>3741</v>
      </c>
      <c r="D410" s="2124"/>
      <c r="E410" s="2124"/>
      <c r="F410" s="2124"/>
      <c r="G410" s="2124"/>
      <c r="H410" s="2124"/>
      <c r="I410" s="2124"/>
      <c r="J410" s="2124"/>
      <c r="K410" s="2124"/>
      <c r="L410" s="2124"/>
      <c r="M410" s="2124"/>
      <c r="N410" s="2124"/>
      <c r="O410" s="174" t="s">
        <v>779</v>
      </c>
      <c r="P410" s="2939" t="s">
        <v>4362</v>
      </c>
      <c r="Q410" s="636"/>
      <c r="AE410" s="530"/>
      <c r="AF410" s="530"/>
    </row>
    <row r="411" spans="1:32" s="143" customFormat="1" ht="22.5" customHeight="1">
      <c r="B411" s="152" t="s">
        <v>2193</v>
      </c>
      <c r="C411" s="2124" t="s">
        <v>3564</v>
      </c>
      <c r="D411" s="2124"/>
      <c r="E411" s="2124"/>
      <c r="F411" s="2124"/>
      <c r="G411" s="2124"/>
      <c r="H411" s="2124"/>
      <c r="I411" s="2124"/>
      <c r="J411" s="2124"/>
      <c r="K411" s="2124"/>
      <c r="L411" s="2124"/>
      <c r="M411" s="2124"/>
      <c r="N411" s="2124"/>
      <c r="O411" s="174" t="s">
        <v>2193</v>
      </c>
      <c r="P411" s="2939" t="s">
        <v>4362</v>
      </c>
      <c r="Q411" s="636"/>
      <c r="AE411" s="530"/>
      <c r="AF411" s="530"/>
    </row>
    <row r="412" spans="1:32" s="143" customFormat="1">
      <c r="B412" s="152" t="s">
        <v>1801</v>
      </c>
      <c r="C412" s="2124" t="s">
        <v>3565</v>
      </c>
      <c r="D412" s="2124"/>
      <c r="E412" s="2124"/>
      <c r="F412" s="2124"/>
      <c r="G412" s="2124"/>
      <c r="H412" s="2124"/>
      <c r="I412" s="2124"/>
      <c r="J412" s="2124"/>
      <c r="K412" s="2124"/>
      <c r="L412" s="2124"/>
      <c r="M412" s="2124"/>
      <c r="N412" s="2124"/>
      <c r="O412" s="174" t="s">
        <v>1801</v>
      </c>
      <c r="P412" s="2939" t="s">
        <v>4362</v>
      </c>
      <c r="Q412" s="636"/>
      <c r="AE412" s="530"/>
      <c r="AF412" s="530"/>
    </row>
    <row r="413" spans="1:32" s="143" customFormat="1">
      <c r="B413" s="152" t="s">
        <v>1802</v>
      </c>
      <c r="C413" s="2124" t="s">
        <v>3566</v>
      </c>
      <c r="D413" s="2124"/>
      <c r="E413" s="2124"/>
      <c r="F413" s="2124"/>
      <c r="G413" s="2124"/>
      <c r="H413" s="2124"/>
      <c r="I413" s="2124"/>
      <c r="J413" s="2124"/>
      <c r="K413" s="2124"/>
      <c r="L413" s="2124"/>
      <c r="M413" s="2124"/>
      <c r="N413" s="2124"/>
      <c r="O413" s="174" t="s">
        <v>1802</v>
      </c>
      <c r="P413" s="2939" t="s">
        <v>4362</v>
      </c>
      <c r="Q413" s="636"/>
      <c r="AE413" s="530"/>
      <c r="AF413" s="530"/>
    </row>
    <row r="414" spans="1:32" s="143" customFormat="1" ht="21.75" customHeight="1">
      <c r="B414" s="152" t="s">
        <v>2021</v>
      </c>
      <c r="C414" s="2124" t="s">
        <v>3743</v>
      </c>
      <c r="D414" s="2124"/>
      <c r="E414" s="2124"/>
      <c r="F414" s="2124"/>
      <c r="G414" s="2124"/>
      <c r="H414" s="2124"/>
      <c r="I414" s="2124"/>
      <c r="J414" s="2124"/>
      <c r="K414" s="2124"/>
      <c r="L414" s="2124"/>
      <c r="M414" s="2124"/>
      <c r="N414" s="2124"/>
      <c r="O414" s="174" t="s">
        <v>2021</v>
      </c>
      <c r="P414" s="2979" t="s">
        <v>4362</v>
      </c>
      <c r="Q414" s="637"/>
      <c r="AE414" s="530"/>
      <c r="AF414" s="530"/>
    </row>
    <row r="415" spans="1:32" ht="11.25" customHeight="1">
      <c r="B415" s="151" t="s">
        <v>1936</v>
      </c>
      <c r="D415" s="151"/>
      <c r="E415" s="151"/>
      <c r="F415" s="151"/>
      <c r="G415" s="151"/>
      <c r="H415" s="41"/>
      <c r="I415" s="1822"/>
      <c r="J415" s="1822"/>
      <c r="K415" s="1822"/>
      <c r="L415" s="1810"/>
      <c r="M415" s="1810"/>
      <c r="N415" s="1810"/>
      <c r="O415" s="1810"/>
      <c r="P415" s="1810"/>
      <c r="Q415" s="1219"/>
    </row>
    <row r="416" spans="1:32" ht="11.45" customHeight="1">
      <c r="A416" s="2900" t="s">
        <v>4364</v>
      </c>
      <c r="B416" s="2901"/>
      <c r="C416" s="2901"/>
      <c r="D416" s="2901"/>
      <c r="E416" s="2901"/>
      <c r="F416" s="2901"/>
      <c r="G416" s="2901"/>
      <c r="H416" s="2901"/>
      <c r="I416" s="2901"/>
      <c r="J416" s="2901"/>
      <c r="K416" s="2901"/>
      <c r="L416" s="2901"/>
      <c r="M416" s="2901"/>
      <c r="N416" s="2901"/>
      <c r="O416" s="2901"/>
      <c r="P416" s="2901"/>
      <c r="Q416" s="2902"/>
      <c r="R416" s="502" t="s">
        <v>1301</v>
      </c>
      <c r="S416" s="503"/>
      <c r="U416" s="146"/>
      <c r="V416" s="146"/>
      <c r="W416" s="146"/>
      <c r="X416" s="146"/>
      <c r="Y416" s="146"/>
      <c r="Z416" s="146"/>
      <c r="AA416" s="146"/>
      <c r="AB416" s="146"/>
      <c r="AC416" s="146"/>
      <c r="AD416" s="146"/>
      <c r="AE416" s="529"/>
    </row>
    <row r="417" spans="1:32" ht="11.25" customHeight="1">
      <c r="B417" s="147" t="s">
        <v>1937</v>
      </c>
      <c r="C417" s="148"/>
      <c r="D417" s="1814"/>
      <c r="E417" s="1814"/>
      <c r="F417" s="1814"/>
      <c r="G417" s="1814"/>
      <c r="H417" s="1814"/>
      <c r="I417" s="1814"/>
      <c r="J417" s="1814"/>
      <c r="K417" s="1814"/>
      <c r="L417" s="1814"/>
      <c r="M417" s="1814"/>
      <c r="N417" s="1814"/>
      <c r="O417" s="1814"/>
      <c r="P417" s="1814"/>
      <c r="Q417" s="1814"/>
    </row>
    <row r="418" spans="1:32" ht="11.45" customHeight="1">
      <c r="A418" s="2121"/>
      <c r="B418" s="2122"/>
      <c r="C418" s="2122"/>
      <c r="D418" s="2122"/>
      <c r="E418" s="2122"/>
      <c r="F418" s="2122"/>
      <c r="G418" s="2122"/>
      <c r="H418" s="2122"/>
      <c r="I418" s="2122"/>
      <c r="J418" s="2122"/>
      <c r="K418" s="2122"/>
      <c r="L418" s="2122"/>
      <c r="M418" s="2122"/>
      <c r="N418" s="2122"/>
      <c r="O418" s="2122"/>
      <c r="P418" s="2122"/>
      <c r="Q418" s="2123"/>
    </row>
    <row r="419" spans="1:32" ht="3" customHeight="1">
      <c r="A419" s="1810"/>
      <c r="B419" s="1822"/>
      <c r="C419" s="1814"/>
      <c r="D419" s="1814"/>
      <c r="E419" s="1814"/>
      <c r="F419" s="1814"/>
      <c r="G419" s="1814"/>
      <c r="H419" s="1814"/>
      <c r="I419" s="1814"/>
      <c r="J419" s="1814"/>
      <c r="K419" s="1814"/>
      <c r="L419" s="1814"/>
      <c r="M419" s="1814"/>
      <c r="Q419" s="1219"/>
    </row>
    <row r="420" spans="1:32" ht="13.9" customHeight="1">
      <c r="A420" s="1818">
        <v>27</v>
      </c>
      <c r="B420" s="4" t="s">
        <v>2764</v>
      </c>
      <c r="C420" s="4"/>
      <c r="D420" s="92"/>
      <c r="E420" s="1814"/>
      <c r="F420" s="1814"/>
      <c r="G420" s="1814"/>
      <c r="H420" s="1814"/>
      <c r="I420" s="1814"/>
      <c r="J420" s="1814"/>
      <c r="K420" s="1814"/>
      <c r="L420" s="1814"/>
      <c r="M420" s="1814"/>
      <c r="O420" s="142" t="s">
        <v>1938</v>
      </c>
      <c r="P420" s="2106"/>
      <c r="Q420" s="2107"/>
    </row>
    <row r="421" spans="1:32" ht="11.25" customHeight="1">
      <c r="A421" s="1818"/>
      <c r="B421" s="151" t="s">
        <v>1936</v>
      </c>
      <c r="D421" s="151"/>
      <c r="E421" s="151"/>
      <c r="F421" s="151"/>
      <c r="G421" s="151"/>
      <c r="H421" s="41"/>
      <c r="I421" s="1822"/>
      <c r="J421" s="1822"/>
      <c r="K421" s="1822"/>
      <c r="L421" s="1810"/>
      <c r="M421" s="1810"/>
      <c r="N421" s="1810"/>
      <c r="O421" s="1810"/>
      <c r="P421" s="1810"/>
      <c r="Q421" s="1219"/>
    </row>
    <row r="422" spans="1:32" ht="11.45" customHeight="1">
      <c r="A422" s="2900" t="s">
        <v>4363</v>
      </c>
      <c r="B422" s="2901"/>
      <c r="C422" s="2901"/>
      <c r="D422" s="2901"/>
      <c r="E422" s="2901"/>
      <c r="F422" s="2901"/>
      <c r="G422" s="2901"/>
      <c r="H422" s="2901"/>
      <c r="I422" s="2901"/>
      <c r="J422" s="2901"/>
      <c r="K422" s="2901"/>
      <c r="L422" s="2901"/>
      <c r="M422" s="2901"/>
      <c r="N422" s="2901"/>
      <c r="O422" s="2901"/>
      <c r="P422" s="2901"/>
      <c r="Q422" s="2902"/>
      <c r="R422" s="502" t="s">
        <v>1301</v>
      </c>
      <c r="S422" s="503"/>
      <c r="U422" s="146"/>
      <c r="V422" s="146"/>
      <c r="W422" s="146"/>
      <c r="X422" s="146"/>
      <c r="Y422" s="146"/>
      <c r="Z422" s="146"/>
      <c r="AA422" s="146"/>
      <c r="AB422" s="146"/>
      <c r="AC422" s="146"/>
      <c r="AD422" s="146"/>
      <c r="AE422" s="529"/>
    </row>
    <row r="423" spans="1:32" ht="11.25" customHeight="1">
      <c r="B423" s="147" t="s">
        <v>1937</v>
      </c>
      <c r="C423" s="148"/>
      <c r="D423" s="1814"/>
      <c r="E423" s="1814"/>
      <c r="F423" s="1814"/>
      <c r="G423" s="1814"/>
      <c r="H423" s="1814"/>
      <c r="I423" s="1814"/>
      <c r="J423" s="1814"/>
      <c r="K423" s="1814"/>
      <c r="L423" s="1814"/>
      <c r="M423" s="1814"/>
      <c r="N423" s="1814"/>
      <c r="O423" s="1814"/>
      <c r="P423" s="1814"/>
      <c r="Q423" s="1814"/>
    </row>
    <row r="424" spans="1:32" ht="12" customHeight="1">
      <c r="A424" s="2121"/>
      <c r="B424" s="2122"/>
      <c r="C424" s="2122"/>
      <c r="D424" s="2122"/>
      <c r="E424" s="2122"/>
      <c r="F424" s="2122"/>
      <c r="G424" s="2122"/>
      <c r="H424" s="2122"/>
      <c r="I424" s="2122"/>
      <c r="J424" s="2122"/>
      <c r="K424" s="2122"/>
      <c r="L424" s="2122"/>
      <c r="M424" s="2122"/>
      <c r="N424" s="2122"/>
      <c r="O424" s="2122"/>
      <c r="P424" s="2122"/>
      <c r="Q424" s="2123"/>
    </row>
    <row r="425" spans="1:32" ht="3" customHeight="1">
      <c r="A425" s="1810"/>
      <c r="B425" s="1822"/>
      <c r="C425" s="1814"/>
      <c r="D425" s="1814"/>
      <c r="E425" s="1814"/>
      <c r="F425" s="1814"/>
      <c r="G425" s="1814"/>
      <c r="H425" s="1814"/>
      <c r="I425" s="1814"/>
      <c r="J425" s="1814"/>
      <c r="K425" s="1814"/>
      <c r="L425" s="1814"/>
      <c r="M425" s="1814"/>
      <c r="N425" s="1814"/>
      <c r="O425" s="1814"/>
      <c r="P425" s="1814"/>
      <c r="Q425" s="1810"/>
    </row>
    <row r="426" spans="1:32" s="158" customFormat="1" ht="8.4499999999999993" customHeight="1">
      <c r="A426" s="1810"/>
      <c r="B426" s="1822"/>
      <c r="C426" s="1814"/>
      <c r="D426" s="1814"/>
      <c r="E426" s="1814"/>
      <c r="F426" s="1814"/>
      <c r="G426" s="1814"/>
      <c r="H426" s="1814"/>
      <c r="I426" s="1814"/>
      <c r="J426" s="1814"/>
      <c r="K426" s="1814"/>
      <c r="L426" s="1814"/>
      <c r="M426" s="1814"/>
      <c r="AE426" s="531"/>
      <c r="AF426" s="531"/>
    </row>
    <row r="427" spans="1:32" s="158" customFormat="1" ht="3" customHeight="1">
      <c r="A427" s="1810"/>
      <c r="B427" s="1822"/>
      <c r="C427" s="1814"/>
      <c r="D427" s="1814"/>
      <c r="E427" s="1814"/>
      <c r="F427" s="1814"/>
      <c r="G427" s="1814"/>
      <c r="H427" s="1814"/>
      <c r="I427" s="1814"/>
      <c r="J427" s="1814"/>
      <c r="K427" s="1814"/>
      <c r="L427" s="1814"/>
      <c r="M427" s="1814"/>
      <c r="N427" s="1814"/>
      <c r="O427" s="1814"/>
      <c r="P427" s="1814"/>
      <c r="Q427" s="1810"/>
      <c r="AE427" s="531"/>
      <c r="AF427" s="531"/>
    </row>
    <row r="428" spans="1:32" s="158" customFormat="1" ht="12" customHeight="1">
      <c r="A428" s="834"/>
      <c r="B428" s="834"/>
      <c r="C428" s="834"/>
      <c r="D428" s="834"/>
      <c r="E428" s="834"/>
      <c r="F428" s="834"/>
      <c r="G428" s="834"/>
      <c r="H428" s="834"/>
      <c r="I428" s="834"/>
      <c r="J428" s="834"/>
      <c r="K428" s="834"/>
      <c r="L428" s="834"/>
      <c r="M428" s="834"/>
      <c r="N428" s="834"/>
      <c r="O428" s="834"/>
      <c r="P428" s="834"/>
      <c r="Q428" s="834"/>
      <c r="AE428" s="531"/>
      <c r="AF428" s="531"/>
    </row>
    <row r="429" spans="1:32" s="158" customFormat="1" ht="12" customHeight="1">
      <c r="A429" s="834"/>
      <c r="B429" s="834"/>
      <c r="C429" s="834"/>
      <c r="D429" s="834"/>
      <c r="E429" s="834"/>
      <c r="F429" s="834"/>
      <c r="G429" s="834"/>
      <c r="H429" s="834"/>
      <c r="I429" s="834"/>
      <c r="J429" s="834"/>
      <c r="K429" s="834"/>
      <c r="L429" s="834"/>
      <c r="M429" s="834"/>
      <c r="N429" s="834"/>
      <c r="O429" s="834"/>
      <c r="P429" s="834"/>
      <c r="Q429" s="834"/>
      <c r="AE429" s="531"/>
      <c r="AF429" s="531"/>
    </row>
    <row r="430" spans="1:32" s="158" customFormat="1" ht="12" customHeight="1">
      <c r="A430" s="834"/>
      <c r="B430" s="834"/>
      <c r="C430" s="834"/>
      <c r="D430" s="835" t="s">
        <v>3860</v>
      </c>
      <c r="E430" s="834"/>
      <c r="F430" s="834"/>
      <c r="G430" s="834"/>
      <c r="H430" s="834"/>
      <c r="I430" s="834"/>
      <c r="J430" s="834"/>
      <c r="K430" s="834"/>
      <c r="L430" s="834"/>
      <c r="M430" s="834"/>
      <c r="N430" s="834"/>
      <c r="O430" s="834"/>
      <c r="P430" s="834"/>
      <c r="Q430" s="834"/>
      <c r="AE430" s="531"/>
      <c r="AF430" s="531"/>
    </row>
    <row r="431" spans="1:32" s="158" customFormat="1" ht="12" customHeight="1">
      <c r="A431" s="834"/>
      <c r="B431" s="834"/>
      <c r="C431" s="834"/>
      <c r="D431" s="834"/>
      <c r="E431" s="834"/>
      <c r="F431" s="834"/>
      <c r="G431" s="834"/>
      <c r="H431" s="834"/>
      <c r="I431" s="834"/>
      <c r="J431" s="834"/>
      <c r="K431" s="834"/>
      <c r="L431" s="834"/>
      <c r="M431" s="834"/>
      <c r="N431" s="834"/>
      <c r="O431" s="834"/>
      <c r="P431" s="834"/>
      <c r="Q431" s="834"/>
      <c r="AE431" s="531"/>
      <c r="AF431" s="531"/>
    </row>
    <row r="432" spans="1:32" s="158" customFormat="1" ht="12" customHeight="1">
      <c r="A432" s="834"/>
      <c r="B432" s="834"/>
      <c r="C432" s="834"/>
      <c r="D432" s="834"/>
      <c r="E432" s="834"/>
      <c r="F432" s="834"/>
      <c r="G432" s="834"/>
      <c r="H432" s="834"/>
      <c r="I432" s="834"/>
      <c r="J432" s="834"/>
      <c r="K432" s="834"/>
      <c r="L432" s="834"/>
      <c r="M432" s="834"/>
      <c r="N432" s="834"/>
      <c r="O432" s="834"/>
      <c r="P432" s="834"/>
      <c r="Q432" s="834"/>
      <c r="AE432" s="531"/>
      <c r="AF432" s="531"/>
    </row>
    <row r="433" spans="1:32" s="158" customFormat="1" ht="12" customHeight="1">
      <c r="A433" s="834"/>
      <c r="B433" s="834"/>
      <c r="C433" s="834"/>
      <c r="D433" s="834"/>
      <c r="E433" s="834"/>
      <c r="F433" s="834"/>
      <c r="G433" s="834"/>
      <c r="H433" s="834"/>
      <c r="I433" s="834"/>
      <c r="J433" s="834"/>
      <c r="K433" s="834"/>
      <c r="L433" s="834"/>
      <c r="M433" s="834"/>
      <c r="N433" s="834"/>
      <c r="O433" s="834"/>
      <c r="P433" s="834"/>
      <c r="Q433" s="834"/>
      <c r="AE433" s="531"/>
      <c r="AF433" s="531"/>
    </row>
    <row r="434" spans="1:32" s="158" customFormat="1" ht="12" customHeight="1">
      <c r="A434" s="834"/>
      <c r="B434" s="834"/>
      <c r="C434" s="834"/>
      <c r="D434" s="834"/>
      <c r="E434" s="834"/>
      <c r="F434" s="834"/>
      <c r="G434" s="834"/>
      <c r="H434" s="834"/>
      <c r="I434" s="834"/>
      <c r="J434" s="834"/>
      <c r="K434" s="834"/>
      <c r="L434" s="834"/>
      <c r="M434" s="834"/>
      <c r="N434" s="834"/>
      <c r="O434" s="834"/>
      <c r="P434" s="834"/>
      <c r="Q434" s="834"/>
      <c r="AE434" s="531"/>
      <c r="AF434" s="531"/>
    </row>
    <row r="435" spans="1:32" s="158" customFormat="1" ht="12" customHeight="1">
      <c r="A435" s="834"/>
      <c r="B435" s="834"/>
      <c r="C435" s="834"/>
      <c r="D435" s="834"/>
      <c r="E435" s="834"/>
      <c r="F435" s="834"/>
      <c r="G435" s="834"/>
      <c r="H435" s="834"/>
      <c r="I435" s="834"/>
      <c r="J435" s="834"/>
      <c r="K435" s="834"/>
      <c r="L435" s="834"/>
      <c r="M435" s="834"/>
      <c r="N435" s="834"/>
      <c r="O435" s="834"/>
      <c r="P435" s="834"/>
      <c r="Q435" s="834"/>
      <c r="AE435" s="531"/>
      <c r="AF435" s="531"/>
    </row>
    <row r="436" spans="1:32" s="158" customFormat="1" ht="12" customHeight="1">
      <c r="A436" s="834"/>
      <c r="B436" s="834"/>
      <c r="C436" s="834"/>
      <c r="D436" s="834"/>
      <c r="E436" s="834"/>
      <c r="F436" s="834"/>
      <c r="G436" s="834"/>
      <c r="H436" s="834"/>
      <c r="I436" s="834"/>
      <c r="J436" s="834"/>
      <c r="K436" s="834"/>
      <c r="L436" s="834"/>
      <c r="M436" s="834"/>
      <c r="N436" s="834"/>
      <c r="O436" s="834"/>
      <c r="P436" s="834"/>
      <c r="Q436" s="834"/>
      <c r="AE436" s="531"/>
      <c r="AF436" s="531"/>
    </row>
    <row r="437" spans="1:32" s="158" customFormat="1" ht="12" customHeight="1">
      <c r="A437" s="834"/>
      <c r="B437" s="834"/>
      <c r="C437" s="834"/>
      <c r="D437" s="834"/>
      <c r="E437" s="834"/>
      <c r="F437" s="834"/>
      <c r="G437" s="834"/>
      <c r="H437" s="834"/>
      <c r="I437" s="834"/>
      <c r="J437" s="834"/>
      <c r="K437" s="834"/>
      <c r="L437" s="834"/>
      <c r="M437" s="834"/>
      <c r="N437" s="834"/>
      <c r="O437" s="834"/>
      <c r="P437" s="834"/>
      <c r="Q437" s="834"/>
      <c r="AE437" s="531"/>
      <c r="AF437" s="531"/>
    </row>
    <row r="438" spans="1:32" s="158" customFormat="1" ht="12" customHeight="1">
      <c r="A438" s="834"/>
      <c r="B438" s="834"/>
      <c r="C438" s="834"/>
      <c r="D438" s="834"/>
      <c r="E438" s="834"/>
      <c r="F438" s="834"/>
      <c r="G438" s="834"/>
      <c r="H438" s="834"/>
      <c r="I438" s="834"/>
      <c r="J438" s="834"/>
      <c r="K438" s="834"/>
      <c r="L438" s="834"/>
      <c r="M438" s="834"/>
      <c r="N438" s="834"/>
      <c r="O438" s="834"/>
      <c r="P438" s="834"/>
      <c r="Q438" s="834"/>
      <c r="AE438" s="531"/>
      <c r="AF438" s="531"/>
    </row>
    <row r="439" spans="1:32" s="158" customFormat="1" ht="12" customHeight="1">
      <c r="A439" s="834"/>
      <c r="B439" s="834"/>
      <c r="C439" s="834"/>
      <c r="D439" s="834"/>
      <c r="E439" s="834"/>
      <c r="F439" s="834"/>
      <c r="G439" s="834"/>
      <c r="H439" s="834"/>
      <c r="I439" s="834"/>
      <c r="J439" s="834"/>
      <c r="K439" s="834"/>
      <c r="L439" s="834"/>
      <c r="M439" s="834"/>
      <c r="N439" s="834"/>
      <c r="O439" s="834"/>
      <c r="P439" s="834"/>
      <c r="Q439" s="834"/>
      <c r="AE439" s="531"/>
      <c r="AF439" s="531"/>
    </row>
    <row r="440" spans="1:32" s="158" customFormat="1" ht="12" customHeight="1">
      <c r="A440" s="834"/>
      <c r="B440" s="834"/>
      <c r="C440" s="834"/>
      <c r="D440" s="834"/>
      <c r="E440" s="834"/>
      <c r="F440" s="834"/>
      <c r="G440" s="834"/>
      <c r="H440" s="834"/>
      <c r="I440" s="834"/>
      <c r="J440" s="834"/>
      <c r="K440" s="834"/>
      <c r="L440" s="834"/>
      <c r="M440" s="834"/>
      <c r="N440" s="834"/>
      <c r="O440" s="834"/>
      <c r="P440" s="834"/>
      <c r="Q440" s="834"/>
      <c r="AE440" s="531"/>
      <c r="AF440" s="531"/>
    </row>
    <row r="441" spans="1:32" s="158" customFormat="1" ht="12" customHeight="1">
      <c r="A441" s="835"/>
      <c r="B441" s="835"/>
      <c r="C441" s="835"/>
      <c r="D441" s="835"/>
      <c r="E441" s="835"/>
      <c r="F441" s="835"/>
      <c r="G441" s="835"/>
      <c r="H441" s="835"/>
      <c r="I441" s="835"/>
      <c r="J441" s="835"/>
      <c r="K441" s="835"/>
      <c r="L441" s="835"/>
      <c r="M441" s="835"/>
      <c r="N441" s="834"/>
      <c r="O441" s="834"/>
      <c r="P441" s="834"/>
      <c r="Q441" s="834"/>
      <c r="AE441" s="531"/>
      <c r="AF441" s="531"/>
    </row>
    <row r="442" spans="1:32" s="158" customFormat="1" ht="12" customHeight="1">
      <c r="A442" s="835"/>
      <c r="B442" s="835"/>
      <c r="C442" s="835"/>
      <c r="D442" s="835"/>
      <c r="E442" s="835"/>
      <c r="F442" s="835"/>
      <c r="G442" s="835"/>
      <c r="H442" s="835"/>
      <c r="I442" s="835"/>
      <c r="J442" s="835"/>
      <c r="K442" s="835"/>
      <c r="L442" s="835"/>
      <c r="M442" s="835"/>
      <c r="N442" s="834"/>
      <c r="O442" s="834"/>
      <c r="P442" s="834"/>
      <c r="Q442" s="834"/>
      <c r="AE442" s="531"/>
      <c r="AF442" s="531"/>
    </row>
    <row r="443" spans="1:32" s="158" customFormat="1">
      <c r="A443" s="507"/>
      <c r="B443" s="507"/>
      <c r="C443" s="507"/>
      <c r="D443" s="507"/>
      <c r="E443" s="507"/>
      <c r="F443" s="507"/>
      <c r="G443" s="507"/>
      <c r="H443" s="507"/>
      <c r="I443" s="507"/>
      <c r="J443" s="507"/>
      <c r="K443" s="507"/>
      <c r="L443" s="507"/>
      <c r="M443" s="507"/>
      <c r="AE443" s="531"/>
      <c r="AF443" s="531"/>
    </row>
    <row r="444" spans="1:32" s="172" customFormat="1">
      <c r="A444" s="548"/>
      <c r="B444" s="548"/>
      <c r="C444" s="548"/>
      <c r="D444" s="548"/>
      <c r="E444" s="548"/>
      <c r="F444" s="548"/>
      <c r="G444" s="548"/>
      <c r="H444" s="548"/>
      <c r="I444" s="548"/>
      <c r="J444" s="548"/>
      <c r="K444" s="548"/>
      <c r="L444" s="548"/>
      <c r="M444" s="548"/>
      <c r="N444" s="130"/>
      <c r="O444" s="1805"/>
      <c r="P444" s="1805"/>
      <c r="AE444" s="534"/>
      <c r="AF444" s="534"/>
    </row>
    <row r="445" spans="1:32" s="485" customFormat="1" ht="15">
      <c r="A445" s="549"/>
      <c r="B445" s="549"/>
      <c r="C445" s="550" t="s">
        <v>1708</v>
      </c>
      <c r="D445" s="550"/>
      <c r="E445" s="550"/>
      <c r="F445" s="550"/>
      <c r="G445" s="550"/>
      <c r="H445" s="550"/>
      <c r="I445" s="550"/>
      <c r="J445" s="550" t="s">
        <v>1050</v>
      </c>
      <c r="K445" s="550"/>
      <c r="L445" s="549"/>
      <c r="M445" s="549"/>
      <c r="N445" s="1836"/>
      <c r="O445" s="836" t="s">
        <v>3029</v>
      </c>
      <c r="P445" s="500"/>
      <c r="AE445" s="494"/>
      <c r="AF445" s="494"/>
    </row>
    <row r="446" spans="1:32" s="485" customFormat="1" ht="15">
      <c r="A446" s="549"/>
      <c r="B446" s="549"/>
      <c r="C446" s="549" t="s">
        <v>2167</v>
      </c>
      <c r="D446" s="549"/>
      <c r="E446" s="549"/>
      <c r="F446" s="549"/>
      <c r="G446" s="549"/>
      <c r="H446" s="549"/>
      <c r="I446" s="549"/>
      <c r="J446" s="549" t="s">
        <v>1837</v>
      </c>
      <c r="K446" s="549"/>
      <c r="L446" s="549"/>
      <c r="M446" s="549"/>
      <c r="N446" s="1836"/>
      <c r="O446" s="836" t="s">
        <v>3030</v>
      </c>
      <c r="P446" s="500"/>
      <c r="AE446" s="494"/>
      <c r="AF446" s="494"/>
    </row>
    <row r="447" spans="1:32" s="485" customFormat="1" ht="15">
      <c r="A447" s="549"/>
      <c r="B447" s="549"/>
      <c r="C447" s="550" t="s">
        <v>2632</v>
      </c>
      <c r="D447" s="550"/>
      <c r="E447" s="550"/>
      <c r="F447" s="550"/>
      <c r="G447" s="550"/>
      <c r="H447" s="550"/>
      <c r="I447" s="550"/>
      <c r="J447" s="551" t="s">
        <v>1790</v>
      </c>
      <c r="K447" s="550"/>
      <c r="L447" s="549"/>
      <c r="M447" s="549"/>
      <c r="N447" s="1836"/>
      <c r="O447" s="836" t="s">
        <v>3031</v>
      </c>
      <c r="P447" s="500"/>
      <c r="AE447" s="494"/>
      <c r="AF447" s="494"/>
    </row>
    <row r="448" spans="1:32" s="485" customFormat="1" ht="15">
      <c r="A448" s="549"/>
      <c r="B448" s="549"/>
      <c r="C448" s="550" t="s">
        <v>2168</v>
      </c>
      <c r="D448" s="550"/>
      <c r="E448" s="550"/>
      <c r="F448" s="550"/>
      <c r="G448" s="550"/>
      <c r="H448" s="550"/>
      <c r="I448" s="550"/>
      <c r="J448" s="551" t="s">
        <v>239</v>
      </c>
      <c r="K448" s="550"/>
      <c r="L448" s="549"/>
      <c r="M448" s="549"/>
      <c r="N448" s="1836"/>
      <c r="O448" s="836" t="s">
        <v>3032</v>
      </c>
      <c r="P448" s="500"/>
      <c r="AE448" s="494"/>
      <c r="AF448" s="494"/>
    </row>
    <row r="449" spans="1:32" s="485" customFormat="1" ht="15">
      <c r="A449" s="549"/>
      <c r="B449" s="549"/>
      <c r="C449" s="550" t="s">
        <v>2169</v>
      </c>
      <c r="D449" s="550"/>
      <c r="E449" s="550"/>
      <c r="F449" s="550"/>
      <c r="G449" s="550"/>
      <c r="H449" s="550"/>
      <c r="I449" s="550"/>
      <c r="J449" s="549" t="s">
        <v>1229</v>
      </c>
      <c r="K449" s="550"/>
      <c r="L449" s="549"/>
      <c r="M449" s="549"/>
      <c r="N449" s="1836"/>
      <c r="O449" s="836" t="s">
        <v>3033</v>
      </c>
      <c r="P449" s="500"/>
      <c r="AE449" s="494"/>
      <c r="AF449" s="494"/>
    </row>
    <row r="450" spans="1:32" s="485" customFormat="1" ht="15">
      <c r="A450" s="549"/>
      <c r="B450" s="549"/>
      <c r="C450" s="552" t="s">
        <v>2170</v>
      </c>
      <c r="D450" s="550"/>
      <c r="E450" s="550"/>
      <c r="F450" s="550"/>
      <c r="G450" s="550"/>
      <c r="H450" s="550"/>
      <c r="I450" s="550"/>
      <c r="J450" s="553" t="s">
        <v>2182</v>
      </c>
      <c r="K450" s="550"/>
      <c r="L450" s="549"/>
      <c r="M450" s="549"/>
      <c r="N450" s="1836"/>
      <c r="O450" s="836" t="s">
        <v>3034</v>
      </c>
      <c r="P450" s="500"/>
      <c r="AE450" s="494"/>
      <c r="AF450" s="494"/>
    </row>
    <row r="451" spans="1:32" s="485" customFormat="1" ht="15">
      <c r="A451" s="549"/>
      <c r="B451" s="549"/>
      <c r="C451" s="552" t="s">
        <v>2171</v>
      </c>
      <c r="D451" s="550"/>
      <c r="E451" s="550"/>
      <c r="F451" s="550"/>
      <c r="G451" s="550"/>
      <c r="H451" s="550"/>
      <c r="I451" s="550"/>
      <c r="J451" s="551" t="s">
        <v>1720</v>
      </c>
      <c r="K451" s="550"/>
      <c r="L451" s="549"/>
      <c r="M451" s="549"/>
      <c r="N451" s="1836"/>
      <c r="O451" s="836" t="s">
        <v>3035</v>
      </c>
      <c r="P451" s="500"/>
      <c r="AE451" s="494"/>
      <c r="AF451" s="494"/>
    </row>
    <row r="452" spans="1:32" s="485" customFormat="1" ht="15">
      <c r="A452" s="549"/>
      <c r="B452" s="549"/>
      <c r="C452" s="552"/>
      <c r="D452" s="550"/>
      <c r="E452" s="550"/>
      <c r="F452" s="550"/>
      <c r="G452" s="550"/>
      <c r="H452" s="550"/>
      <c r="I452" s="550"/>
      <c r="J452" s="551" t="s">
        <v>1236</v>
      </c>
      <c r="K452" s="550"/>
      <c r="L452" s="549"/>
      <c r="M452" s="549"/>
      <c r="N452" s="1836"/>
      <c r="O452" s="836" t="s">
        <v>3036</v>
      </c>
      <c r="P452" s="500"/>
      <c r="AE452" s="494"/>
      <c r="AF452" s="494"/>
    </row>
    <row r="453" spans="1:32" s="485" customFormat="1" ht="15">
      <c r="A453" s="549"/>
      <c r="B453" s="549"/>
      <c r="C453" s="549" t="s">
        <v>1837</v>
      </c>
      <c r="D453" s="550"/>
      <c r="E453" s="550"/>
      <c r="F453" s="550"/>
      <c r="G453" s="550"/>
      <c r="H453" s="550"/>
      <c r="I453" s="550"/>
      <c r="J453" s="551" t="s">
        <v>1717</v>
      </c>
      <c r="K453" s="550"/>
      <c r="L453" s="549"/>
      <c r="M453" s="549"/>
      <c r="N453" s="1836"/>
      <c r="O453" s="836" t="s">
        <v>3037</v>
      </c>
      <c r="P453" s="500"/>
      <c r="AE453" s="494"/>
      <c r="AF453" s="494"/>
    </row>
    <row r="454" spans="1:32" s="485" customFormat="1" ht="11.25">
      <c r="A454" s="549"/>
      <c r="B454" s="549"/>
      <c r="C454" s="554" t="s">
        <v>1442</v>
      </c>
      <c r="D454" s="550"/>
      <c r="E454" s="550"/>
      <c r="F454" s="550"/>
      <c r="G454" s="550"/>
      <c r="H454" s="550"/>
      <c r="I454" s="550"/>
      <c r="J454" s="551" t="s">
        <v>2183</v>
      </c>
      <c r="K454" s="550"/>
      <c r="L454" s="549"/>
      <c r="M454" s="549"/>
      <c r="N454" s="1836"/>
      <c r="O454" s="500"/>
      <c r="P454" s="500"/>
      <c r="AE454" s="494"/>
      <c r="AF454" s="494"/>
    </row>
    <row r="455" spans="1:32" s="485" customFormat="1" ht="11.25">
      <c r="A455" s="549"/>
      <c r="B455" s="549"/>
      <c r="C455" s="554" t="s">
        <v>1443</v>
      </c>
      <c r="D455" s="550"/>
      <c r="E455" s="550"/>
      <c r="F455" s="550"/>
      <c r="G455" s="550"/>
      <c r="H455" s="550"/>
      <c r="I455" s="550"/>
      <c r="J455" s="551" t="s">
        <v>1710</v>
      </c>
      <c r="K455" s="550"/>
      <c r="L455" s="549"/>
      <c r="M455" s="549"/>
      <c r="N455" s="1836"/>
      <c r="O455" s="500"/>
      <c r="P455" s="500"/>
      <c r="AE455" s="494"/>
      <c r="AF455" s="494"/>
    </row>
    <row r="456" spans="1:32" s="485" customFormat="1" ht="11.25">
      <c r="A456" s="549"/>
      <c r="B456" s="549"/>
      <c r="C456" s="555" t="s">
        <v>2211</v>
      </c>
      <c r="D456" s="550"/>
      <c r="E456" s="550"/>
      <c r="F456" s="550"/>
      <c r="G456" s="550"/>
      <c r="H456" s="550"/>
      <c r="I456" s="550"/>
      <c r="J456" s="551" t="s">
        <v>1237</v>
      </c>
      <c r="K456" s="550"/>
      <c r="L456" s="549"/>
      <c r="M456" s="549"/>
      <c r="N456" s="1836"/>
      <c r="O456" s="500"/>
      <c r="P456" s="500"/>
      <c r="AE456" s="494"/>
      <c r="AF456" s="494"/>
    </row>
    <row r="457" spans="1:32" s="485" customFormat="1" ht="11.25">
      <c r="A457" s="549"/>
      <c r="B457" s="549"/>
      <c r="C457" s="555" t="s">
        <v>1439</v>
      </c>
      <c r="D457" s="550"/>
      <c r="E457" s="550"/>
      <c r="F457" s="550"/>
      <c r="G457" s="550"/>
      <c r="H457" s="550"/>
      <c r="I457" s="550"/>
      <c r="J457" s="551" t="s">
        <v>613</v>
      </c>
      <c r="K457" s="550"/>
      <c r="L457" s="549"/>
      <c r="M457" s="549"/>
      <c r="N457" s="1836"/>
      <c r="O457" s="500"/>
      <c r="P457" s="500"/>
      <c r="AE457" s="494"/>
      <c r="AF457" s="494"/>
    </row>
    <row r="458" spans="1:32" s="485" customFormat="1" ht="11.25">
      <c r="A458" s="549"/>
      <c r="B458" s="549"/>
      <c r="C458" s="555" t="s">
        <v>1440</v>
      </c>
      <c r="D458" s="550"/>
      <c r="E458" s="550"/>
      <c r="F458" s="550"/>
      <c r="G458" s="550"/>
      <c r="H458" s="550"/>
      <c r="I458" s="550"/>
      <c r="J458" s="551" t="s">
        <v>1716</v>
      </c>
      <c r="K458" s="550"/>
      <c r="L458" s="549"/>
      <c r="M458" s="549"/>
      <c r="N458" s="1836"/>
      <c r="O458" s="500"/>
      <c r="P458" s="500"/>
      <c r="AE458" s="494"/>
      <c r="AF458" s="494"/>
    </row>
    <row r="459" spans="1:32" s="485" customFormat="1" ht="11.25">
      <c r="A459" s="549"/>
      <c r="B459" s="549"/>
      <c r="C459" s="554" t="s">
        <v>2206</v>
      </c>
      <c r="D459" s="550"/>
      <c r="E459" s="550"/>
      <c r="F459" s="550"/>
      <c r="G459" s="550"/>
      <c r="H459" s="550"/>
      <c r="I459" s="550"/>
      <c r="J459" s="551" t="s">
        <v>1231</v>
      </c>
      <c r="K459" s="550"/>
      <c r="L459" s="549"/>
      <c r="M459" s="549"/>
      <c r="N459" s="1836"/>
      <c r="O459" s="500"/>
      <c r="P459" s="500"/>
      <c r="AE459" s="494"/>
      <c r="AF459" s="494"/>
    </row>
    <row r="460" spans="1:32" s="485" customFormat="1" ht="11.25">
      <c r="A460" s="549"/>
      <c r="B460" s="549"/>
      <c r="C460" s="554" t="s">
        <v>2207</v>
      </c>
      <c r="D460" s="550"/>
      <c r="E460" s="550"/>
      <c r="F460" s="550"/>
      <c r="G460" s="550"/>
      <c r="H460" s="550"/>
      <c r="I460" s="550"/>
      <c r="J460" s="551" t="s">
        <v>1230</v>
      </c>
      <c r="K460" s="549"/>
      <c r="L460" s="549"/>
      <c r="M460" s="549"/>
      <c r="N460" s="1836"/>
      <c r="O460" s="500"/>
      <c r="P460" s="500"/>
      <c r="AE460" s="494"/>
      <c r="AF460" s="494"/>
    </row>
    <row r="461" spans="1:32" s="485" customFormat="1" ht="11.25">
      <c r="A461" s="549"/>
      <c r="B461" s="549"/>
      <c r="C461" s="554" t="s">
        <v>2208</v>
      </c>
      <c r="D461" s="549"/>
      <c r="E461" s="549"/>
      <c r="F461" s="549"/>
      <c r="G461" s="549"/>
      <c r="H461" s="549"/>
      <c r="I461" s="549"/>
      <c r="J461" s="551" t="s">
        <v>1791</v>
      </c>
      <c r="K461" s="549"/>
      <c r="L461" s="549"/>
      <c r="M461" s="549"/>
      <c r="N461" s="1836"/>
      <c r="O461" s="500"/>
      <c r="P461" s="500"/>
      <c r="AE461" s="494"/>
      <c r="AF461" s="494"/>
    </row>
    <row r="462" spans="1:32" s="485" customFormat="1" ht="11.25">
      <c r="A462" s="549"/>
      <c r="B462" s="549"/>
      <c r="C462" s="554" t="s">
        <v>2209</v>
      </c>
      <c r="D462" s="549"/>
      <c r="E462" s="549"/>
      <c r="F462" s="549"/>
      <c r="G462" s="549"/>
      <c r="H462" s="549"/>
      <c r="I462" s="549"/>
      <c r="J462" s="551" t="s">
        <v>1719</v>
      </c>
      <c r="K462" s="549"/>
      <c r="L462" s="549"/>
      <c r="M462" s="549"/>
      <c r="N462" s="1836"/>
      <c r="O462" s="500"/>
      <c r="P462" s="500"/>
      <c r="AE462" s="494"/>
      <c r="AF462" s="494"/>
    </row>
    <row r="463" spans="1:32" s="485" customFormat="1" ht="11.25">
      <c r="A463" s="549"/>
      <c r="B463" s="549"/>
      <c r="C463" s="554" t="s">
        <v>2210</v>
      </c>
      <c r="D463" s="549"/>
      <c r="E463" s="549"/>
      <c r="F463" s="549"/>
      <c r="G463" s="549"/>
      <c r="H463" s="549"/>
      <c r="I463" s="549"/>
      <c r="J463" s="551" t="s">
        <v>1711</v>
      </c>
      <c r="K463" s="549"/>
      <c r="L463" s="549"/>
      <c r="M463" s="549"/>
      <c r="N463" s="1836"/>
      <c r="O463" s="500"/>
      <c r="P463" s="500"/>
      <c r="AE463" s="494"/>
      <c r="AF463" s="494"/>
    </row>
    <row r="464" spans="1:32" s="485" customFormat="1" ht="11.25">
      <c r="A464" s="549"/>
      <c r="B464" s="549"/>
      <c r="C464" s="554" t="s">
        <v>1441</v>
      </c>
      <c r="D464" s="549"/>
      <c r="E464" s="549"/>
      <c r="F464" s="549"/>
      <c r="G464" s="549"/>
      <c r="H464" s="549"/>
      <c r="I464" s="549"/>
      <c r="J464" s="551" t="s">
        <v>2181</v>
      </c>
      <c r="K464" s="549"/>
      <c r="L464" s="549"/>
      <c r="M464" s="549"/>
      <c r="N464" s="1836"/>
      <c r="O464" s="500"/>
      <c r="P464" s="500"/>
      <c r="AE464" s="494"/>
      <c r="AF464" s="494"/>
    </row>
    <row r="465" spans="1:32" s="485" customFormat="1" ht="11.25">
      <c r="A465" s="549"/>
      <c r="B465" s="549"/>
      <c r="C465" s="554" t="s">
        <v>2362</v>
      </c>
      <c r="D465" s="549"/>
      <c r="E465" s="549"/>
      <c r="F465" s="549"/>
      <c r="G465" s="549"/>
      <c r="H465" s="549"/>
      <c r="I465" s="549"/>
      <c r="J465" s="549"/>
      <c r="K465" s="549"/>
      <c r="L465" s="549"/>
      <c r="M465" s="549"/>
      <c r="N465" s="1836"/>
      <c r="O465" s="500"/>
      <c r="P465" s="500"/>
      <c r="AE465" s="494"/>
      <c r="AF465" s="494"/>
    </row>
    <row r="466" spans="1:32" s="485" customFormat="1" ht="11.25">
      <c r="A466" s="549"/>
      <c r="B466" s="549"/>
      <c r="C466" s="549"/>
      <c r="D466" s="549"/>
      <c r="E466" s="549"/>
      <c r="F466" s="549"/>
      <c r="G466" s="549"/>
      <c r="H466" s="549"/>
      <c r="I466" s="549"/>
      <c r="J466" s="549"/>
      <c r="K466" s="549"/>
      <c r="L466" s="549"/>
      <c r="M466" s="549"/>
      <c r="N466" s="1836"/>
      <c r="O466" s="500"/>
      <c r="P466" s="500"/>
      <c r="AE466" s="494"/>
      <c r="AF466" s="494"/>
    </row>
    <row r="467" spans="1:32" s="57" customFormat="1" ht="11.25">
      <c r="A467" s="550"/>
      <c r="B467" s="550"/>
      <c r="C467" s="556" t="s">
        <v>1646</v>
      </c>
      <c r="D467" s="550"/>
      <c r="E467" s="550"/>
      <c r="F467" s="550"/>
      <c r="G467" s="550"/>
      <c r="H467" s="550"/>
      <c r="I467" s="550"/>
      <c r="J467" s="550"/>
      <c r="K467" s="550"/>
      <c r="L467" s="550"/>
      <c r="M467" s="550"/>
      <c r="AE467" s="467"/>
      <c r="AF467" s="467"/>
    </row>
    <row r="468" spans="1:32" s="57" customFormat="1" ht="11.25">
      <c r="A468" s="550"/>
      <c r="B468" s="550"/>
      <c r="C468" s="550" t="s">
        <v>1837</v>
      </c>
      <c r="D468" s="550"/>
      <c r="E468" s="550"/>
      <c r="F468" s="550"/>
      <c r="G468" s="550"/>
      <c r="H468" s="550"/>
      <c r="I468" s="550"/>
      <c r="J468" s="550"/>
      <c r="K468" s="550"/>
      <c r="L468" s="550"/>
      <c r="M468" s="550"/>
      <c r="AE468" s="467"/>
      <c r="AF468" s="467"/>
    </row>
    <row r="469" spans="1:32" s="57" customFormat="1" ht="11.25">
      <c r="A469" s="550"/>
      <c r="B469" s="550"/>
      <c r="C469" s="550" t="s">
        <v>2167</v>
      </c>
      <c r="D469" s="550"/>
      <c r="E469" s="549"/>
      <c r="F469" s="549"/>
      <c r="G469" s="549"/>
      <c r="H469" s="549"/>
      <c r="I469" s="549"/>
      <c r="J469" s="549"/>
      <c r="K469" s="549"/>
      <c r="L469" s="549"/>
      <c r="M469" s="549"/>
      <c r="AE469" s="467"/>
      <c r="AF469" s="467"/>
    </row>
    <row r="470" spans="1:32" s="57" customFormat="1" ht="11.25">
      <c r="A470" s="550"/>
      <c r="B470" s="550"/>
      <c r="C470" s="550" t="s">
        <v>2632</v>
      </c>
      <c r="D470" s="549"/>
      <c r="E470" s="549"/>
      <c r="F470" s="549"/>
      <c r="G470" s="549"/>
      <c r="H470" s="550"/>
      <c r="I470" s="549"/>
      <c r="J470" s="549"/>
      <c r="K470" s="549"/>
      <c r="L470" s="549"/>
      <c r="M470" s="549"/>
      <c r="AE470" s="467"/>
      <c r="AF470" s="467"/>
    </row>
    <row r="471" spans="1:32" s="57" customFormat="1" ht="11.25">
      <c r="A471" s="550"/>
      <c r="B471" s="550"/>
      <c r="C471" s="550" t="s">
        <v>2168</v>
      </c>
      <c r="D471" s="549"/>
      <c r="E471" s="549"/>
      <c r="F471" s="549"/>
      <c r="G471" s="549"/>
      <c r="H471" s="549"/>
      <c r="I471" s="549"/>
      <c r="J471" s="549"/>
      <c r="K471" s="549"/>
      <c r="L471" s="549"/>
      <c r="M471" s="549"/>
      <c r="AE471" s="467"/>
      <c r="AF471" s="467"/>
    </row>
    <row r="472" spans="1:32" s="57" customFormat="1" ht="11.25">
      <c r="A472" s="550"/>
      <c r="B472" s="550"/>
      <c r="C472" s="550" t="s">
        <v>1709</v>
      </c>
      <c r="D472" s="549"/>
      <c r="E472" s="549"/>
      <c r="F472" s="549"/>
      <c r="G472" s="549"/>
      <c r="H472" s="550"/>
      <c r="I472" s="549"/>
      <c r="J472" s="549"/>
      <c r="K472" s="549"/>
      <c r="L472" s="549"/>
      <c r="M472" s="549"/>
      <c r="AE472" s="467"/>
      <c r="AF472" s="467"/>
    </row>
    <row r="473" spans="1:32" s="57" customFormat="1" ht="11.25">
      <c r="A473" s="550"/>
      <c r="B473" s="550"/>
      <c r="C473" s="552" t="s">
        <v>2087</v>
      </c>
      <c r="D473" s="549"/>
      <c r="E473" s="549"/>
      <c r="F473" s="549"/>
      <c r="G473" s="549"/>
      <c r="H473" s="550"/>
      <c r="I473" s="549"/>
      <c r="J473" s="549"/>
      <c r="K473" s="549"/>
      <c r="L473" s="549"/>
      <c r="M473" s="549"/>
      <c r="AE473" s="467"/>
      <c r="AF473" s="467"/>
    </row>
    <row r="474" spans="1:32" s="57" customFormat="1" ht="11.25">
      <c r="A474" s="550"/>
      <c r="B474" s="550"/>
      <c r="C474" s="550" t="s">
        <v>239</v>
      </c>
      <c r="D474" s="549"/>
      <c r="E474" s="549"/>
      <c r="F474" s="549"/>
      <c r="G474" s="549"/>
      <c r="H474" s="550"/>
      <c r="I474" s="549"/>
      <c r="J474" s="550"/>
      <c r="K474" s="549"/>
      <c r="L474" s="549"/>
      <c r="M474" s="549"/>
      <c r="AE474" s="467"/>
      <c r="AF474" s="467"/>
    </row>
    <row r="475" spans="1:32" s="57" customFormat="1" ht="11.25">
      <c r="A475" s="550"/>
      <c r="B475" s="550"/>
      <c r="C475" s="550" t="s">
        <v>1710</v>
      </c>
      <c r="D475" s="549"/>
      <c r="E475" s="549"/>
      <c r="F475" s="549"/>
      <c r="G475" s="549"/>
      <c r="H475" s="550"/>
      <c r="I475" s="549"/>
      <c r="J475" s="550"/>
      <c r="K475" s="549"/>
      <c r="L475" s="549"/>
      <c r="M475" s="549"/>
      <c r="AE475" s="467"/>
      <c r="AF475" s="467"/>
    </row>
    <row r="476" spans="1:32" s="57" customFormat="1" ht="11.25">
      <c r="A476" s="550"/>
      <c r="B476" s="550"/>
      <c r="C476" s="550" t="s">
        <v>1711</v>
      </c>
      <c r="D476" s="549"/>
      <c r="E476" s="549"/>
      <c r="F476" s="549"/>
      <c r="G476" s="549"/>
      <c r="H476" s="550"/>
      <c r="I476" s="549"/>
      <c r="J476" s="550"/>
      <c r="K476" s="549"/>
      <c r="L476" s="549"/>
      <c r="M476" s="549"/>
      <c r="AE476" s="467"/>
      <c r="AF476" s="467"/>
    </row>
    <row r="477" spans="1:32" s="57" customFormat="1" ht="11.25">
      <c r="A477" s="550"/>
      <c r="B477" s="550"/>
      <c r="C477" s="550" t="s">
        <v>2591</v>
      </c>
      <c r="D477" s="549"/>
      <c r="E477" s="549"/>
      <c r="F477" s="549"/>
      <c r="G477" s="549"/>
      <c r="H477" s="549"/>
      <c r="I477" s="549"/>
      <c r="J477" s="549"/>
      <c r="K477" s="549"/>
      <c r="L477" s="549"/>
      <c r="M477" s="549"/>
      <c r="AE477" s="467"/>
      <c r="AF477" s="467"/>
    </row>
    <row r="478" spans="1:32" s="57" customFormat="1" ht="11.25">
      <c r="A478" s="550"/>
      <c r="B478" s="550"/>
      <c r="C478" s="550" t="s">
        <v>1647</v>
      </c>
      <c r="D478" s="549"/>
      <c r="E478" s="549"/>
      <c r="F478" s="549"/>
      <c r="G478" s="549"/>
      <c r="H478" s="549"/>
      <c r="I478" s="549"/>
      <c r="J478" s="549"/>
      <c r="K478" s="549"/>
      <c r="L478" s="549"/>
      <c r="M478" s="549"/>
      <c r="AE478" s="467"/>
      <c r="AF478" s="467"/>
    </row>
    <row r="479" spans="1:32" s="57" customFormat="1" ht="11.25">
      <c r="A479" s="550"/>
      <c r="B479" s="550"/>
      <c r="C479" s="550" t="s">
        <v>1713</v>
      </c>
      <c r="D479" s="549"/>
      <c r="E479" s="549"/>
      <c r="F479" s="549"/>
      <c r="G479" s="549"/>
      <c r="H479" s="549"/>
      <c r="I479" s="549"/>
      <c r="J479" s="549"/>
      <c r="K479" s="549"/>
      <c r="L479" s="549"/>
      <c r="M479" s="549"/>
      <c r="AE479" s="467"/>
      <c r="AF479" s="467"/>
    </row>
    <row r="480" spans="1:32" s="57" customFormat="1" ht="11.25">
      <c r="A480" s="550"/>
      <c r="B480" s="550"/>
      <c r="C480" s="550" t="s">
        <v>2594</v>
      </c>
      <c r="D480" s="549"/>
      <c r="E480" s="549"/>
      <c r="F480" s="549"/>
      <c r="G480" s="549"/>
      <c r="H480" s="549"/>
      <c r="I480" s="549"/>
      <c r="J480" s="549"/>
      <c r="K480" s="549"/>
      <c r="L480" s="549"/>
      <c r="M480" s="549"/>
      <c r="AE480" s="467"/>
      <c r="AF480" s="467"/>
    </row>
    <row r="481" spans="1:32" s="57" customFormat="1" ht="11.25">
      <c r="A481" s="550"/>
      <c r="B481" s="550"/>
      <c r="C481" s="550" t="s">
        <v>1715</v>
      </c>
      <c r="D481" s="549"/>
      <c r="E481" s="549"/>
      <c r="F481" s="549"/>
      <c r="G481" s="549"/>
      <c r="H481" s="549"/>
      <c r="I481" s="549"/>
      <c r="J481" s="549"/>
      <c r="K481" s="549"/>
      <c r="L481" s="549"/>
      <c r="M481" s="549"/>
      <c r="N481" s="57" t="s">
        <v>2592</v>
      </c>
      <c r="AE481" s="467"/>
      <c r="AF481" s="467"/>
    </row>
    <row r="482" spans="1:32" s="57" customFormat="1" ht="11.25">
      <c r="A482" s="550"/>
      <c r="B482" s="550"/>
      <c r="C482" s="550" t="s">
        <v>1716</v>
      </c>
      <c r="D482" s="549"/>
      <c r="E482" s="549"/>
      <c r="F482" s="549"/>
      <c r="G482" s="549"/>
      <c r="H482" s="549"/>
      <c r="I482" s="549"/>
      <c r="J482" s="549"/>
      <c r="K482" s="549"/>
      <c r="L482" s="549"/>
      <c r="M482" s="549"/>
      <c r="AE482" s="467"/>
      <c r="AF482" s="467"/>
    </row>
    <row r="483" spans="1:32" s="57" customFormat="1" ht="11.25">
      <c r="A483" s="550"/>
      <c r="B483" s="550"/>
      <c r="C483" s="550" t="s">
        <v>1717</v>
      </c>
      <c r="D483" s="549"/>
      <c r="E483" s="549"/>
      <c r="F483" s="549"/>
      <c r="G483" s="549"/>
      <c r="H483" s="549"/>
      <c r="I483" s="549"/>
      <c r="J483" s="549"/>
      <c r="K483" s="549"/>
      <c r="L483" s="549"/>
      <c r="M483" s="549"/>
      <c r="AE483" s="467"/>
      <c r="AF483" s="467"/>
    </row>
    <row r="484" spans="1:32" s="57" customFormat="1" ht="11.25">
      <c r="A484" s="550"/>
      <c r="B484" s="550"/>
      <c r="C484" s="550" t="s">
        <v>613</v>
      </c>
      <c r="D484" s="549"/>
      <c r="E484" s="549"/>
      <c r="F484" s="549"/>
      <c r="G484" s="549"/>
      <c r="H484" s="549"/>
      <c r="I484" s="549"/>
      <c r="J484" s="549"/>
      <c r="K484" s="549"/>
      <c r="L484" s="549"/>
      <c r="M484" s="549"/>
      <c r="AE484" s="467"/>
      <c r="AF484" s="467"/>
    </row>
    <row r="485" spans="1:32" s="57" customFormat="1" ht="11.25">
      <c r="A485" s="550"/>
      <c r="B485" s="550"/>
      <c r="C485" s="550" t="s">
        <v>1718</v>
      </c>
      <c r="D485" s="549"/>
      <c r="E485" s="549"/>
      <c r="F485" s="549"/>
      <c r="G485" s="549"/>
      <c r="H485" s="549"/>
      <c r="I485" s="549"/>
      <c r="J485" s="549"/>
      <c r="K485" s="549"/>
      <c r="L485" s="549"/>
      <c r="M485" s="549"/>
      <c r="AE485" s="467"/>
      <c r="AF485" s="467"/>
    </row>
    <row r="486" spans="1:32" s="57" customFormat="1" ht="11.25">
      <c r="A486" s="550"/>
      <c r="B486" s="550"/>
      <c r="C486" s="550" t="s">
        <v>1949</v>
      </c>
      <c r="D486" s="549"/>
      <c r="E486" s="549"/>
      <c r="F486" s="549"/>
      <c r="G486" s="549"/>
      <c r="H486" s="549"/>
      <c r="I486" s="549"/>
      <c r="J486" s="549"/>
      <c r="K486" s="549"/>
      <c r="L486" s="549"/>
      <c r="M486" s="549"/>
      <c r="AE486" s="467"/>
      <c r="AF486" s="467"/>
    </row>
    <row r="487" spans="1:32" s="57" customFormat="1" ht="11.25">
      <c r="A487" s="550"/>
      <c r="B487" s="550"/>
      <c r="C487" s="550" t="s">
        <v>238</v>
      </c>
      <c r="D487" s="549"/>
      <c r="E487" s="549"/>
      <c r="F487" s="549"/>
      <c r="G487" s="549"/>
      <c r="H487" s="549"/>
      <c r="I487" s="549"/>
      <c r="J487" s="549"/>
      <c r="K487" s="549"/>
      <c r="L487" s="549"/>
      <c r="M487" s="549"/>
      <c r="AE487" s="467"/>
      <c r="AF487" s="467"/>
    </row>
    <row r="488" spans="1:32" s="57" customFormat="1" ht="11.25">
      <c r="A488" s="550"/>
      <c r="B488" s="550"/>
      <c r="C488" s="550"/>
      <c r="D488" s="550"/>
      <c r="E488" s="550"/>
      <c r="F488" s="550"/>
      <c r="G488" s="550"/>
      <c r="H488" s="550"/>
      <c r="I488" s="550"/>
      <c r="J488" s="550"/>
      <c r="K488" s="550"/>
      <c r="L488" s="550"/>
      <c r="M488" s="550"/>
      <c r="AE488" s="467"/>
      <c r="AF488" s="467"/>
    </row>
    <row r="489" spans="1:32" s="57" customFormat="1" ht="11.25">
      <c r="A489" s="550"/>
      <c r="B489" s="550"/>
      <c r="C489" s="556" t="s">
        <v>1855</v>
      </c>
      <c r="D489" s="550"/>
      <c r="E489" s="550"/>
      <c r="F489" s="550"/>
      <c r="G489" s="550"/>
      <c r="H489" s="550"/>
      <c r="I489" s="550"/>
      <c r="J489" s="550"/>
      <c r="K489" s="550"/>
      <c r="L489" s="550"/>
      <c r="M489" s="550"/>
      <c r="AE489" s="467"/>
      <c r="AF489" s="467"/>
    </row>
    <row r="490" spans="1:32" s="57" customFormat="1" ht="11.25">
      <c r="A490" s="550"/>
      <c r="B490" s="550"/>
      <c r="C490" s="550" t="s">
        <v>960</v>
      </c>
      <c r="D490" s="550"/>
      <c r="E490" s="550"/>
      <c r="F490" s="550"/>
      <c r="G490" s="550"/>
      <c r="H490" s="550"/>
      <c r="I490" s="550"/>
      <c r="J490" s="550"/>
      <c r="K490" s="550"/>
      <c r="L490" s="550"/>
      <c r="M490" s="550"/>
      <c r="AE490" s="467"/>
      <c r="AF490" s="467"/>
    </row>
    <row r="491" spans="1:32" s="57" customFormat="1" ht="11.25">
      <c r="A491" s="550"/>
      <c r="B491" s="550"/>
      <c r="C491" s="554" t="s">
        <v>1688</v>
      </c>
      <c r="D491" s="550"/>
      <c r="E491" s="550"/>
      <c r="F491" s="550"/>
      <c r="G491" s="550"/>
      <c r="H491" s="550"/>
      <c r="I491" s="550"/>
      <c r="J491" s="550"/>
      <c r="K491" s="550"/>
      <c r="L491" s="550"/>
      <c r="M491" s="550"/>
      <c r="AE491" s="467"/>
      <c r="AF491" s="467"/>
    </row>
    <row r="492" spans="1:32" s="57" customFormat="1" ht="11.25">
      <c r="A492" s="550"/>
      <c r="B492" s="550"/>
      <c r="C492" s="554" t="s">
        <v>749</v>
      </c>
      <c r="D492" s="550"/>
      <c r="E492" s="550"/>
      <c r="F492" s="550"/>
      <c r="G492" s="550"/>
      <c r="H492" s="550"/>
      <c r="I492" s="550"/>
      <c r="J492" s="550"/>
      <c r="K492" s="550"/>
      <c r="L492" s="554"/>
      <c r="M492" s="550"/>
      <c r="AE492" s="467"/>
      <c r="AF492" s="467"/>
    </row>
    <row r="493" spans="1:32" s="57" customFormat="1" ht="11.25">
      <c r="A493" s="550"/>
      <c r="B493" s="550"/>
      <c r="C493" s="554" t="s">
        <v>750</v>
      </c>
      <c r="D493" s="550"/>
      <c r="E493" s="550"/>
      <c r="F493" s="550"/>
      <c r="G493" s="550"/>
      <c r="H493" s="550"/>
      <c r="I493" s="550"/>
      <c r="J493" s="550"/>
      <c r="K493" s="550"/>
      <c r="L493" s="554"/>
      <c r="M493" s="550"/>
      <c r="AE493" s="467"/>
      <c r="AF493" s="467"/>
    </row>
    <row r="494" spans="1:32" s="57" customFormat="1" ht="11.25">
      <c r="A494" s="550"/>
      <c r="B494" s="550"/>
      <c r="C494" s="554" t="s">
        <v>2234</v>
      </c>
      <c r="D494" s="550"/>
      <c r="E494" s="550"/>
      <c r="F494" s="550"/>
      <c r="G494" s="550"/>
      <c r="H494" s="550"/>
      <c r="I494" s="550"/>
      <c r="J494" s="550"/>
      <c r="K494" s="550"/>
      <c r="L494" s="554"/>
      <c r="M494" s="550"/>
      <c r="AE494" s="467"/>
      <c r="AF494" s="467"/>
    </row>
    <row r="495" spans="1:32" s="57" customFormat="1" ht="11.25">
      <c r="A495" s="550"/>
      <c r="B495" s="550"/>
      <c r="C495" s="554" t="s">
        <v>128</v>
      </c>
      <c r="D495" s="550"/>
      <c r="E495" s="550"/>
      <c r="F495" s="550"/>
      <c r="G495" s="550"/>
      <c r="H495" s="550"/>
      <c r="I495" s="550"/>
      <c r="J495" s="550"/>
      <c r="K495" s="550"/>
      <c r="L495" s="554"/>
      <c r="M495" s="550"/>
      <c r="AE495" s="467"/>
      <c r="AF495" s="467"/>
    </row>
    <row r="496" spans="1:32" s="57" customFormat="1" ht="11.25">
      <c r="A496" s="550"/>
      <c r="B496" s="550"/>
      <c r="C496" s="506" t="s">
        <v>126</v>
      </c>
      <c r="D496" s="550"/>
      <c r="E496" s="550"/>
      <c r="F496" s="550"/>
      <c r="G496" s="550"/>
      <c r="H496" s="550"/>
      <c r="I496" s="550"/>
      <c r="J496" s="550"/>
      <c r="K496" s="550"/>
      <c r="L496" s="554"/>
      <c r="M496" s="550"/>
      <c r="AE496" s="467"/>
      <c r="AF496" s="467"/>
    </row>
    <row r="497" spans="1:32" s="57" customFormat="1" ht="11.25">
      <c r="A497" s="550"/>
      <c r="B497" s="550"/>
      <c r="C497" s="506" t="s">
        <v>1954</v>
      </c>
      <c r="D497" s="550"/>
      <c r="E497" s="550"/>
      <c r="F497" s="550"/>
      <c r="G497" s="550"/>
      <c r="H497" s="550"/>
      <c r="I497" s="550"/>
      <c r="J497" s="550"/>
      <c r="K497" s="550"/>
      <c r="L497" s="550"/>
      <c r="M497" s="550"/>
      <c r="AE497" s="467"/>
      <c r="AF497" s="467"/>
    </row>
    <row r="498" spans="1:32" s="57" customFormat="1" ht="11.25">
      <c r="A498" s="550"/>
      <c r="B498" s="550"/>
      <c r="C498" s="554" t="s">
        <v>980</v>
      </c>
      <c r="D498" s="550"/>
      <c r="E498" s="550"/>
      <c r="F498" s="550"/>
      <c r="G498" s="550"/>
      <c r="H498" s="550"/>
      <c r="I498" s="550"/>
      <c r="J498" s="550"/>
      <c r="K498" s="550"/>
      <c r="L498" s="554"/>
      <c r="M498" s="550"/>
      <c r="AE498" s="467"/>
      <c r="AF498" s="467"/>
    </row>
    <row r="499" spans="1:32" s="57" customFormat="1" ht="11.25">
      <c r="A499" s="550"/>
      <c r="B499" s="550"/>
      <c r="C499" s="506" t="s">
        <v>127</v>
      </c>
      <c r="D499" s="550"/>
      <c r="E499" s="550"/>
      <c r="F499" s="550"/>
      <c r="G499" s="550"/>
      <c r="H499" s="550"/>
      <c r="I499" s="550"/>
      <c r="J499" s="550"/>
      <c r="K499" s="550"/>
      <c r="L499" s="554"/>
      <c r="M499" s="550"/>
      <c r="AE499" s="467"/>
      <c r="AF499" s="467"/>
    </row>
    <row r="500" spans="1:32" s="57" customFormat="1" ht="11.25">
      <c r="A500" s="550"/>
      <c r="B500" s="550"/>
      <c r="C500" s="506" t="s">
        <v>128</v>
      </c>
      <c r="D500" s="550"/>
      <c r="E500" s="550"/>
      <c r="F500" s="550"/>
      <c r="G500" s="550"/>
      <c r="H500" s="550"/>
      <c r="I500" s="550"/>
      <c r="J500" s="550"/>
      <c r="K500" s="550"/>
      <c r="L500" s="554"/>
      <c r="M500" s="550"/>
      <c r="AE500" s="467"/>
      <c r="AF500" s="467"/>
    </row>
    <row r="501" spans="1:32" s="57" customFormat="1" ht="11.25">
      <c r="A501" s="550"/>
      <c r="B501" s="550"/>
      <c r="C501" s="506" t="s">
        <v>129</v>
      </c>
      <c r="D501" s="550"/>
      <c r="E501" s="550"/>
      <c r="F501" s="550"/>
      <c r="G501" s="550"/>
      <c r="H501" s="550"/>
      <c r="I501" s="550"/>
      <c r="J501" s="550"/>
      <c r="K501" s="550"/>
      <c r="L501" s="554"/>
      <c r="M501" s="550"/>
      <c r="AE501" s="467"/>
      <c r="AF501" s="467"/>
    </row>
    <row r="502" spans="1:32" s="57" customFormat="1" ht="11.25">
      <c r="A502" s="550"/>
      <c r="B502" s="550"/>
      <c r="C502" s="506" t="s">
        <v>2768</v>
      </c>
      <c r="D502" s="550"/>
      <c r="E502" s="550"/>
      <c r="F502" s="550"/>
      <c r="G502" s="550"/>
      <c r="H502" s="550"/>
      <c r="I502" s="550"/>
      <c r="J502" s="550"/>
      <c r="K502" s="550"/>
      <c r="L502" s="550"/>
      <c r="M502" s="550"/>
      <c r="AE502" s="467"/>
      <c r="AF502" s="467"/>
    </row>
    <row r="503" spans="1:32" s="57" customFormat="1" ht="11.25">
      <c r="A503" s="550"/>
      <c r="B503" s="550"/>
      <c r="C503" s="554" t="s">
        <v>2086</v>
      </c>
      <c r="D503" s="550"/>
      <c r="E503" s="550"/>
      <c r="F503" s="550"/>
      <c r="G503" s="550"/>
      <c r="H503" s="550"/>
      <c r="I503" s="550"/>
      <c r="J503" s="550"/>
      <c r="K503" s="550"/>
      <c r="L503" s="554"/>
      <c r="M503" s="550"/>
      <c r="AE503" s="467"/>
      <c r="AF503" s="467"/>
    </row>
    <row r="504" spans="1:32" s="57" customFormat="1" ht="11.25">
      <c r="A504" s="550"/>
      <c r="B504" s="550"/>
      <c r="C504" s="506" t="s">
        <v>2769</v>
      </c>
      <c r="D504" s="550"/>
      <c r="E504" s="550"/>
      <c r="F504" s="550"/>
      <c r="G504" s="550"/>
      <c r="H504" s="550"/>
      <c r="I504" s="550"/>
      <c r="J504" s="550"/>
      <c r="K504" s="550"/>
      <c r="L504" s="554"/>
      <c r="M504" s="550"/>
      <c r="AE504" s="467"/>
      <c r="AF504" s="467"/>
    </row>
    <row r="505" spans="1:32" s="57" customFormat="1" ht="11.25">
      <c r="A505" s="550"/>
      <c r="B505" s="550"/>
      <c r="C505" s="506" t="s">
        <v>1432</v>
      </c>
      <c r="D505" s="550"/>
      <c r="E505" s="550"/>
      <c r="F505" s="550"/>
      <c r="G505" s="550"/>
      <c r="H505" s="550"/>
      <c r="I505" s="550"/>
      <c r="J505" s="550"/>
      <c r="K505" s="550"/>
      <c r="L505" s="554"/>
      <c r="M505" s="550"/>
      <c r="AE505" s="467"/>
      <c r="AF505" s="467"/>
    </row>
    <row r="506" spans="1:32" s="57" customFormat="1" ht="11.25">
      <c r="A506" s="550"/>
      <c r="B506" s="550"/>
      <c r="C506" s="506" t="s">
        <v>1645</v>
      </c>
      <c r="D506" s="550"/>
      <c r="E506" s="550"/>
      <c r="F506" s="550"/>
      <c r="G506" s="550"/>
      <c r="H506" s="550"/>
      <c r="I506" s="550"/>
      <c r="J506" s="550"/>
      <c r="K506" s="557" t="s">
        <v>478</v>
      </c>
      <c r="L506" s="554"/>
      <c r="M506" s="550"/>
      <c r="AE506" s="467"/>
      <c r="AF506" s="467"/>
    </row>
    <row r="507" spans="1:32" s="57" customFormat="1" ht="11.25">
      <c r="A507" s="550"/>
      <c r="B507" s="550"/>
      <c r="C507" s="506" t="s">
        <v>2770</v>
      </c>
      <c r="D507" s="550"/>
      <c r="E507" s="550"/>
      <c r="F507" s="550"/>
      <c r="G507" s="550"/>
      <c r="H507" s="550"/>
      <c r="I507" s="550"/>
      <c r="J507" s="550"/>
      <c r="K507" s="550" t="s">
        <v>1121</v>
      </c>
      <c r="L507" s="554"/>
      <c r="M507" s="550"/>
      <c r="AE507" s="467"/>
      <c r="AF507" s="467"/>
    </row>
    <row r="508" spans="1:32" s="57" customFormat="1" ht="11.25">
      <c r="A508" s="550"/>
      <c r="B508" s="550"/>
      <c r="C508" s="506" t="s">
        <v>2771</v>
      </c>
      <c r="D508" s="550"/>
      <c r="E508" s="550"/>
      <c r="F508" s="550"/>
      <c r="G508" s="550"/>
      <c r="H508" s="550"/>
      <c r="I508" s="550"/>
      <c r="J508" s="550"/>
      <c r="K508" s="550" t="s">
        <v>2742</v>
      </c>
      <c r="L508" s="550"/>
      <c r="M508" s="550"/>
      <c r="AE508" s="467"/>
      <c r="AF508" s="467"/>
    </row>
    <row r="509" spans="1:32" s="57" customFormat="1" ht="11.25">
      <c r="A509" s="550"/>
      <c r="B509" s="550"/>
      <c r="C509" s="554" t="s">
        <v>1250</v>
      </c>
      <c r="D509" s="550"/>
      <c r="E509" s="550"/>
      <c r="F509" s="550"/>
      <c r="G509" s="550"/>
      <c r="H509" s="550"/>
      <c r="I509" s="550"/>
      <c r="J509" s="550"/>
      <c r="K509" s="550" t="s">
        <v>2743</v>
      </c>
      <c r="L509" s="550"/>
      <c r="M509" s="550"/>
      <c r="AE509" s="467"/>
      <c r="AF509" s="467"/>
    </row>
    <row r="510" spans="1:32" s="57" customFormat="1" ht="11.25">
      <c r="A510" s="550"/>
      <c r="B510" s="550"/>
      <c r="C510" s="550"/>
      <c r="D510" s="550"/>
      <c r="E510" s="550"/>
      <c r="F510" s="550"/>
      <c r="G510" s="550"/>
      <c r="H510" s="550"/>
      <c r="I510" s="550"/>
      <c r="J510" s="550"/>
      <c r="K510" s="550"/>
      <c r="L510" s="550"/>
      <c r="M510" s="550"/>
      <c r="AE510" s="467"/>
      <c r="AF510" s="467"/>
    </row>
    <row r="511" spans="1:32" s="57" customFormat="1" ht="11.25">
      <c r="A511" s="550"/>
      <c r="B511" s="550"/>
      <c r="C511" s="556" t="s">
        <v>266</v>
      </c>
      <c r="D511" s="550"/>
      <c r="E511" s="550"/>
      <c r="F511" s="550"/>
      <c r="G511" s="550"/>
      <c r="H511" s="550"/>
      <c r="I511" s="550"/>
      <c r="J511" s="550"/>
      <c r="K511" s="557" t="s">
        <v>2321</v>
      </c>
      <c r="L511" s="550"/>
      <c r="M511" s="550"/>
      <c r="AE511" s="467"/>
      <c r="AF511" s="467"/>
    </row>
    <row r="512" spans="1:32" s="57" customFormat="1" ht="11.25">
      <c r="A512" s="550"/>
      <c r="B512" s="550"/>
      <c r="C512" s="550" t="s">
        <v>1122</v>
      </c>
      <c r="D512" s="550"/>
      <c r="E512" s="550"/>
      <c r="F512" s="550"/>
      <c r="G512" s="550"/>
      <c r="H512" s="550"/>
      <c r="I512" s="550"/>
      <c r="J512" s="550"/>
      <c r="K512" s="550" t="s">
        <v>2407</v>
      </c>
      <c r="L512" s="550"/>
      <c r="M512" s="550"/>
      <c r="AE512" s="467"/>
      <c r="AF512" s="467"/>
    </row>
    <row r="513" spans="1:32" s="57" customFormat="1" ht="11.25">
      <c r="A513" s="550"/>
      <c r="B513" s="550"/>
      <c r="C513" s="550" t="s">
        <v>175</v>
      </c>
      <c r="D513" s="550"/>
      <c r="E513" s="550"/>
      <c r="F513" s="550"/>
      <c r="G513" s="550"/>
      <c r="H513" s="550"/>
      <c r="I513" s="550"/>
      <c r="J513" s="550"/>
      <c r="K513" s="550" t="s">
        <v>1499</v>
      </c>
      <c r="L513" s="550"/>
      <c r="M513" s="550"/>
      <c r="AE513" s="467"/>
      <c r="AF513" s="467"/>
    </row>
    <row r="514" spans="1:32" s="57" customFormat="1" ht="11.25">
      <c r="A514" s="550"/>
      <c r="B514" s="550"/>
      <c r="C514" s="550" t="s">
        <v>1583</v>
      </c>
      <c r="D514" s="550"/>
      <c r="E514" s="550"/>
      <c r="F514" s="550"/>
      <c r="G514" s="550"/>
      <c r="H514" s="550"/>
      <c r="I514" s="550"/>
      <c r="J514" s="550"/>
      <c r="K514" s="550" t="s">
        <v>1173</v>
      </c>
      <c r="L514" s="550"/>
      <c r="M514" s="550"/>
      <c r="AE514" s="467"/>
      <c r="AF514" s="467"/>
    </row>
    <row r="515" spans="1:32" s="57" customFormat="1" ht="11.25">
      <c r="A515" s="550"/>
      <c r="B515" s="550"/>
      <c r="C515" s="550" t="s">
        <v>2196</v>
      </c>
      <c r="D515" s="550"/>
      <c r="E515" s="550"/>
      <c r="F515" s="550"/>
      <c r="G515" s="550"/>
      <c r="H515" s="550"/>
      <c r="I515" s="550"/>
      <c r="J515" s="550"/>
      <c r="K515" s="550" t="s">
        <v>1172</v>
      </c>
      <c r="L515" s="550"/>
      <c r="M515" s="550"/>
      <c r="AE515" s="467"/>
      <c r="AF515" s="467"/>
    </row>
    <row r="516" spans="1:32" s="57" customFormat="1" ht="11.25">
      <c r="A516" s="550"/>
      <c r="B516" s="550"/>
      <c r="C516" s="550" t="s">
        <v>174</v>
      </c>
      <c r="D516" s="550"/>
      <c r="E516" s="550"/>
      <c r="F516" s="550"/>
      <c r="G516" s="550"/>
      <c r="H516" s="550"/>
      <c r="I516" s="550"/>
      <c r="J516" s="550"/>
      <c r="K516" s="550" t="s">
        <v>2836</v>
      </c>
      <c r="L516" s="550"/>
      <c r="M516" s="550"/>
      <c r="AE516" s="467"/>
      <c r="AF516" s="467"/>
    </row>
    <row r="517" spans="1:32" s="57" customFormat="1" ht="11.25">
      <c r="A517" s="550"/>
      <c r="B517" s="550"/>
      <c r="C517" s="550"/>
      <c r="D517" s="550"/>
      <c r="E517" s="550"/>
      <c r="F517" s="550"/>
      <c r="G517" s="550"/>
      <c r="H517" s="550"/>
      <c r="I517" s="550"/>
      <c r="J517" s="550"/>
      <c r="K517" s="557" t="s">
        <v>2022</v>
      </c>
      <c r="L517" s="550"/>
      <c r="M517" s="550"/>
      <c r="AE517" s="467"/>
      <c r="AF517" s="467"/>
    </row>
    <row r="518" spans="1:32" s="57" customFormat="1" ht="11.25">
      <c r="A518" s="550"/>
      <c r="B518" s="550"/>
      <c r="C518" s="550"/>
      <c r="D518" s="550"/>
      <c r="E518" s="550"/>
      <c r="F518" s="550"/>
      <c r="G518" s="550"/>
      <c r="H518" s="550"/>
      <c r="I518" s="550"/>
      <c r="J518" s="550"/>
      <c r="K518" s="550" t="s">
        <v>1120</v>
      </c>
      <c r="L518" s="550"/>
      <c r="M518" s="550"/>
      <c r="AE518" s="467"/>
      <c r="AF518" s="467"/>
    </row>
    <row r="519" spans="1:32" s="57" customFormat="1" ht="11.25">
      <c r="A519" s="550"/>
      <c r="B519" s="550"/>
      <c r="C519" s="550"/>
      <c r="D519" s="550"/>
      <c r="E519" s="550"/>
      <c r="F519" s="550"/>
      <c r="G519" s="550"/>
      <c r="H519" s="550"/>
      <c r="I519" s="550"/>
      <c r="J519" s="550"/>
      <c r="K519" s="550" t="s">
        <v>1817</v>
      </c>
      <c r="L519" s="550"/>
      <c r="M519" s="550"/>
      <c r="AE519" s="467"/>
      <c r="AF519" s="467"/>
    </row>
    <row r="520" spans="1:32" s="57" customFormat="1" ht="11.25">
      <c r="A520" s="550"/>
      <c r="B520" s="550"/>
      <c r="C520" s="550"/>
      <c r="D520" s="550"/>
      <c r="E520" s="550"/>
      <c r="F520" s="550"/>
      <c r="G520" s="550"/>
      <c r="H520" s="550"/>
      <c r="I520" s="550"/>
      <c r="J520" s="550"/>
      <c r="K520" s="550" t="s">
        <v>1174</v>
      </c>
      <c r="L520" s="550"/>
      <c r="M520" s="550"/>
      <c r="AE520" s="467"/>
      <c r="AF520" s="467"/>
    </row>
    <row r="521" spans="1:32" s="57" customFormat="1" ht="11.25">
      <c r="A521" s="550"/>
      <c r="B521" s="550"/>
      <c r="C521" s="550"/>
      <c r="D521" s="550"/>
      <c r="E521" s="550"/>
      <c r="F521" s="550"/>
      <c r="G521" s="550"/>
      <c r="H521" s="550"/>
      <c r="I521" s="550"/>
      <c r="J521" s="550"/>
      <c r="K521" s="550" t="s">
        <v>1818</v>
      </c>
      <c r="L521" s="550"/>
      <c r="M521" s="550"/>
      <c r="AE521" s="467"/>
      <c r="AF521" s="467"/>
    </row>
    <row r="522" spans="1:32" s="57" customFormat="1" ht="11.25">
      <c r="A522" s="550"/>
      <c r="B522" s="550"/>
      <c r="C522" s="550"/>
      <c r="D522" s="550"/>
      <c r="E522" s="550"/>
      <c r="F522" s="550"/>
      <c r="G522" s="550"/>
      <c r="H522" s="550"/>
      <c r="I522" s="550"/>
      <c r="J522" s="550"/>
      <c r="K522" s="550" t="s">
        <v>2451</v>
      </c>
      <c r="L522" s="550"/>
      <c r="M522" s="550"/>
      <c r="AE522" s="467"/>
      <c r="AF522" s="467"/>
    </row>
    <row r="523" spans="1:32" s="57" customFormat="1" ht="11.25">
      <c r="A523" s="550"/>
      <c r="B523" s="550"/>
      <c r="C523" s="550"/>
      <c r="D523" s="550"/>
      <c r="E523" s="550"/>
      <c r="F523" s="550"/>
      <c r="G523" s="550"/>
      <c r="H523" s="550"/>
      <c r="I523" s="550"/>
      <c r="J523" s="550"/>
      <c r="K523" s="550"/>
      <c r="L523" s="550"/>
      <c r="M523" s="550"/>
      <c r="AE523" s="467"/>
      <c r="AF523" s="467"/>
    </row>
    <row r="524" spans="1:32" s="57" customFormat="1" ht="11.25">
      <c r="A524" s="550"/>
      <c r="B524" s="550"/>
      <c r="C524" s="556" t="s">
        <v>1051</v>
      </c>
      <c r="D524" s="550"/>
      <c r="E524" s="550"/>
      <c r="F524" s="550"/>
      <c r="G524" s="550"/>
      <c r="H524" s="550"/>
      <c r="I524" s="550"/>
      <c r="J524" s="550"/>
      <c r="K524" s="556" t="s">
        <v>1052</v>
      </c>
      <c r="L524" s="550"/>
      <c r="M524" s="550"/>
      <c r="AE524" s="467"/>
      <c r="AF524" s="467"/>
    </row>
    <row r="525" spans="1:32" s="57" customFormat="1" ht="11.25">
      <c r="A525" s="550"/>
      <c r="B525" s="550"/>
      <c r="C525" s="550" t="s">
        <v>1050</v>
      </c>
      <c r="D525" s="550"/>
      <c r="E525" s="550"/>
      <c r="F525" s="550"/>
      <c r="G525" s="550"/>
      <c r="H525" s="550"/>
      <c r="I525" s="550"/>
      <c r="J525" s="550"/>
      <c r="K525" s="550" t="s">
        <v>1050</v>
      </c>
      <c r="L525" s="550"/>
      <c r="M525" s="550"/>
      <c r="AE525" s="467"/>
      <c r="AF525" s="467"/>
    </row>
    <row r="526" spans="1:32" s="57" customFormat="1" ht="11.25">
      <c r="A526" s="550"/>
      <c r="B526" s="550"/>
      <c r="C526" s="550" t="s">
        <v>2167</v>
      </c>
      <c r="D526" s="550"/>
      <c r="E526" s="550"/>
      <c r="F526" s="550"/>
      <c r="G526" s="550"/>
      <c r="H526" s="550"/>
      <c r="I526" s="550"/>
      <c r="J526" s="550"/>
      <c r="K526" s="550" t="s">
        <v>239</v>
      </c>
      <c r="L526" s="550"/>
      <c r="M526" s="550"/>
      <c r="AE526" s="467"/>
      <c r="AF526" s="467"/>
    </row>
    <row r="527" spans="1:32" s="57" customFormat="1" ht="11.25">
      <c r="A527" s="550"/>
      <c r="B527" s="550"/>
      <c r="C527" s="550" t="s">
        <v>2632</v>
      </c>
      <c r="D527" s="550"/>
      <c r="E527" s="550"/>
      <c r="F527" s="550"/>
      <c r="G527" s="550"/>
      <c r="H527" s="550"/>
      <c r="I527" s="550"/>
      <c r="J527" s="550"/>
      <c r="K527" s="550" t="s">
        <v>501</v>
      </c>
      <c r="L527" s="550"/>
      <c r="M527" s="550"/>
      <c r="AE527" s="467"/>
      <c r="AF527" s="467"/>
    </row>
    <row r="528" spans="1:32" s="57" customFormat="1" ht="11.25">
      <c r="A528" s="550"/>
      <c r="B528" s="550"/>
      <c r="C528" s="550" t="s">
        <v>2168</v>
      </c>
      <c r="D528" s="550"/>
      <c r="E528" s="550"/>
      <c r="F528" s="550"/>
      <c r="G528" s="550"/>
      <c r="H528" s="550"/>
      <c r="I528" s="550"/>
      <c r="J528" s="550"/>
      <c r="K528" s="550" t="s">
        <v>2591</v>
      </c>
      <c r="L528" s="550"/>
      <c r="M528" s="550"/>
      <c r="AE528" s="467"/>
      <c r="AF528" s="467"/>
    </row>
    <row r="529" spans="1:32" s="57" customFormat="1" ht="11.25">
      <c r="A529" s="550"/>
      <c r="B529" s="550"/>
      <c r="C529" s="550" t="s">
        <v>2023</v>
      </c>
      <c r="D529" s="550"/>
      <c r="E529" s="550"/>
      <c r="F529" s="550"/>
      <c r="G529" s="550"/>
      <c r="H529" s="550"/>
      <c r="I529" s="550"/>
      <c r="J529" s="550"/>
      <c r="K529" s="550" t="s">
        <v>2032</v>
      </c>
      <c r="L529" s="550"/>
      <c r="M529" s="550"/>
      <c r="AE529" s="467"/>
      <c r="AF529" s="467"/>
    </row>
    <row r="530" spans="1:32" s="57" customFormat="1" ht="11.25">
      <c r="A530" s="550"/>
      <c r="B530" s="550"/>
      <c r="C530" s="550" t="s">
        <v>612</v>
      </c>
      <c r="D530" s="550"/>
      <c r="E530" s="550"/>
      <c r="F530" s="550"/>
      <c r="G530" s="550"/>
      <c r="H530" s="550"/>
      <c r="I530" s="550"/>
      <c r="J530" s="550"/>
      <c r="K530" s="550" t="s">
        <v>2593</v>
      </c>
      <c r="L530" s="550"/>
      <c r="M530" s="550"/>
      <c r="AE530" s="467"/>
      <c r="AF530" s="467"/>
    </row>
    <row r="531" spans="1:32" s="57" customFormat="1" ht="11.25">
      <c r="A531" s="550"/>
      <c r="B531" s="550"/>
      <c r="C531" s="550" t="s">
        <v>2274</v>
      </c>
      <c r="D531" s="550"/>
      <c r="E531" s="550"/>
      <c r="F531" s="550"/>
      <c r="G531" s="550"/>
      <c r="H531" s="550"/>
      <c r="I531" s="550"/>
      <c r="J531" s="550"/>
      <c r="K531" s="550" t="s">
        <v>34</v>
      </c>
      <c r="L531" s="550"/>
      <c r="M531" s="550"/>
      <c r="AE531" s="467"/>
      <c r="AF531" s="467"/>
    </row>
    <row r="532" spans="1:32" s="57" customFormat="1" ht="11.25">
      <c r="A532" s="550"/>
      <c r="B532" s="550"/>
      <c r="C532" s="552" t="s">
        <v>35</v>
      </c>
      <c r="D532" s="550"/>
      <c r="E532" s="550"/>
      <c r="F532" s="550"/>
      <c r="G532" s="550"/>
      <c r="H532" s="550"/>
      <c r="I532" s="550"/>
      <c r="J532" s="550"/>
      <c r="K532" s="550" t="s">
        <v>1889</v>
      </c>
      <c r="L532" s="550"/>
      <c r="M532" s="550"/>
      <c r="AE532" s="467"/>
      <c r="AF532" s="467"/>
    </row>
    <row r="533" spans="1:32" s="57" customFormat="1" ht="11.25">
      <c r="A533" s="550"/>
      <c r="B533" s="550"/>
      <c r="C533" s="550"/>
      <c r="D533" s="550"/>
      <c r="E533" s="550"/>
      <c r="F533" s="550"/>
      <c r="G533" s="550"/>
      <c r="H533" s="550"/>
      <c r="I533" s="550"/>
      <c r="J533" s="550"/>
      <c r="K533" s="550" t="s">
        <v>2594</v>
      </c>
      <c r="L533" s="550"/>
      <c r="M533" s="550"/>
      <c r="AE533" s="467"/>
      <c r="AF533" s="467"/>
    </row>
    <row r="534" spans="1:32" s="57" customFormat="1" ht="11.25">
      <c r="A534" s="550"/>
      <c r="B534" s="550"/>
      <c r="C534" s="550"/>
      <c r="D534" s="550"/>
      <c r="E534" s="550"/>
      <c r="F534" s="550"/>
      <c r="G534" s="550"/>
      <c r="H534" s="550"/>
      <c r="I534" s="550"/>
      <c r="J534" s="550"/>
      <c r="K534" s="550" t="s">
        <v>1205</v>
      </c>
      <c r="L534" s="550"/>
      <c r="M534" s="550"/>
      <c r="AE534" s="467"/>
      <c r="AF534" s="467"/>
    </row>
    <row r="535" spans="1:32" s="57" customFormat="1" ht="11.25">
      <c r="A535" s="550"/>
      <c r="B535" s="550"/>
      <c r="C535" s="550"/>
      <c r="D535" s="550"/>
      <c r="E535" s="550"/>
      <c r="F535" s="550"/>
      <c r="G535" s="550"/>
      <c r="H535" s="550"/>
      <c r="I535" s="550"/>
      <c r="J535" s="550"/>
      <c r="K535" s="550" t="s">
        <v>1948</v>
      </c>
      <c r="L535" s="550"/>
      <c r="M535" s="550"/>
      <c r="AE535" s="467"/>
      <c r="AF535" s="467"/>
    </row>
    <row r="536" spans="1:32" s="57" customFormat="1" ht="11.25">
      <c r="A536" s="550"/>
      <c r="B536" s="550"/>
      <c r="C536" s="550"/>
      <c r="D536" s="550"/>
      <c r="E536" s="550"/>
      <c r="F536" s="550"/>
      <c r="G536" s="550"/>
      <c r="H536" s="550"/>
      <c r="I536" s="550"/>
      <c r="J536" s="550"/>
      <c r="K536" s="550" t="s">
        <v>611</v>
      </c>
      <c r="L536" s="550"/>
      <c r="M536" s="550"/>
      <c r="AE536" s="467"/>
      <c r="AF536" s="467"/>
    </row>
    <row r="537" spans="1:32" s="57" customFormat="1" ht="11.25">
      <c r="A537" s="550"/>
      <c r="B537" s="550"/>
      <c r="C537" s="550"/>
      <c r="D537" s="550"/>
      <c r="E537" s="550"/>
      <c r="F537" s="550"/>
      <c r="G537" s="550"/>
      <c r="H537" s="550"/>
      <c r="I537" s="550"/>
      <c r="J537" s="550"/>
      <c r="K537" s="550" t="s">
        <v>1949</v>
      </c>
      <c r="L537" s="550"/>
      <c r="M537" s="550"/>
      <c r="AE537" s="467"/>
      <c r="AF537" s="467"/>
    </row>
    <row r="538" spans="1:32" s="57" customFormat="1" ht="11.25">
      <c r="A538" s="550"/>
      <c r="B538" s="550"/>
      <c r="C538" s="550"/>
      <c r="D538" s="550"/>
      <c r="E538" s="550"/>
      <c r="F538" s="550"/>
      <c r="G538" s="550"/>
      <c r="H538" s="550"/>
      <c r="I538" s="550"/>
      <c r="J538" s="550"/>
      <c r="K538" s="550" t="s">
        <v>613</v>
      </c>
      <c r="L538" s="550"/>
      <c r="M538" s="550"/>
      <c r="AE538" s="467"/>
      <c r="AF538" s="467"/>
    </row>
    <row r="539" spans="1:32" s="57" customFormat="1" ht="11.25">
      <c r="A539" s="550"/>
      <c r="B539" s="550"/>
      <c r="C539" s="550"/>
      <c r="D539" s="550"/>
      <c r="E539" s="550"/>
      <c r="F539" s="550"/>
      <c r="G539" s="550"/>
      <c r="H539" s="550"/>
      <c r="I539" s="550"/>
      <c r="J539" s="550"/>
      <c r="K539" s="550" t="s">
        <v>238</v>
      </c>
      <c r="L539" s="550"/>
      <c r="M539" s="550"/>
      <c r="AE539" s="467"/>
      <c r="AF539" s="467"/>
    </row>
    <row r="540" spans="1:32" s="57" customFormat="1" ht="11.25">
      <c r="A540" s="550"/>
      <c r="B540" s="550"/>
      <c r="C540" s="550"/>
      <c r="D540" s="550"/>
      <c r="E540" s="550"/>
      <c r="F540" s="550"/>
      <c r="G540" s="550"/>
      <c r="H540" s="550"/>
      <c r="I540" s="550"/>
      <c r="J540" s="550"/>
      <c r="K540" s="550"/>
      <c r="L540" s="550"/>
      <c r="M540" s="550"/>
      <c r="AE540" s="467"/>
      <c r="AF540" s="467"/>
    </row>
    <row r="541" spans="1:32" s="57" customFormat="1" ht="11.25">
      <c r="A541" s="550"/>
      <c r="B541" s="550"/>
      <c r="C541" s="550"/>
      <c r="D541" s="558" t="s">
        <v>2114</v>
      </c>
      <c r="E541" s="550"/>
      <c r="F541" s="550"/>
      <c r="G541" s="550"/>
      <c r="H541" s="550"/>
      <c r="I541" s="550"/>
      <c r="J541" s="550"/>
      <c r="K541" s="550"/>
      <c r="L541" s="550"/>
      <c r="M541" s="550"/>
      <c r="AE541" s="467"/>
      <c r="AF541" s="467"/>
    </row>
    <row r="542" spans="1:32" s="57" customFormat="1" ht="11.25">
      <c r="A542" s="550"/>
      <c r="B542" s="550"/>
      <c r="C542" s="550"/>
      <c r="D542" s="550"/>
      <c r="E542" s="550"/>
      <c r="F542" s="550"/>
      <c r="G542" s="550"/>
      <c r="H542" s="550"/>
      <c r="I542" s="550"/>
      <c r="J542" s="550"/>
      <c r="K542" s="550"/>
      <c r="L542" s="550"/>
      <c r="M542" s="550"/>
      <c r="AE542" s="467"/>
      <c r="AF542" s="467"/>
    </row>
    <row r="543" spans="1:32" s="158" customFormat="1">
      <c r="A543" s="507"/>
      <c r="B543" s="507"/>
      <c r="C543" s="507"/>
      <c r="D543" s="507"/>
      <c r="E543" s="507"/>
      <c r="F543" s="507"/>
      <c r="G543" s="507"/>
      <c r="H543" s="507"/>
      <c r="I543" s="507"/>
      <c r="J543" s="507"/>
      <c r="K543" s="507"/>
      <c r="L543" s="507"/>
      <c r="M543" s="507"/>
      <c r="AE543" s="531"/>
      <c r="AF543" s="531"/>
    </row>
    <row r="544" spans="1:32">
      <c r="A544" s="507"/>
      <c r="B544" s="507"/>
      <c r="C544" s="507"/>
      <c r="D544" s="507"/>
      <c r="E544" s="507"/>
      <c r="F544" s="507"/>
      <c r="G544" s="507"/>
      <c r="H544" s="507"/>
      <c r="I544" s="507"/>
      <c r="J544" s="507"/>
      <c r="K544" s="507"/>
      <c r="L544" s="507"/>
      <c r="M544" s="507"/>
      <c r="N544" s="158"/>
      <c r="O544" s="158"/>
      <c r="P544" s="158"/>
      <c r="Q544" s="158"/>
      <c r="R544" s="158"/>
      <c r="S544" s="158"/>
      <c r="T544" s="158"/>
      <c r="U544" s="158"/>
    </row>
    <row r="545" spans="1:21">
      <c r="A545" s="507"/>
      <c r="B545" s="507"/>
      <c r="C545" s="507"/>
      <c r="D545" s="507"/>
      <c r="E545" s="507"/>
      <c r="F545" s="507"/>
      <c r="G545" s="507"/>
      <c r="H545" s="507"/>
      <c r="I545" s="507"/>
      <c r="J545" s="507"/>
      <c r="K545" s="507"/>
      <c r="L545" s="507"/>
      <c r="M545" s="507"/>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aWMZyRIokulViPM2oOdhPoJhRZ2bCbuIhRv6727x6nFx8779gqvrLACctPsEiDu72T1j/nT8RaaaQXdlK7X39g==" saltValue="5V0ngCveJlNg16zzBaZ8k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horizontalDpi="4294967293" verticalDpi="4294967293"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10" zoomScale="136" zoomScaleNormal="136" workbookViewId="0">
      <selection activeCell="A410"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805" customWidth="1"/>
    <col min="17" max="17" width="6" style="28" customWidth="1"/>
    <col min="18" max="21" width="9.140625" style="28" customWidth="1"/>
    <col min="22" max="22" width="8.85546875" style="28" customWidth="1"/>
    <col min="23" max="16384" width="9.140625" style="28"/>
  </cols>
  <sheetData>
    <row r="1" spans="1:19" s="36" customFormat="1" ht="13.9" customHeight="1">
      <c r="A1" s="1945" t="str">
        <f>CONCATENATE("PART NINE - SCORING CRITERIA","  -  ",'Part I-Project Information'!$O$4," ",'Part I-Project Information'!$F$24,", ",'Part I-Project Information'!F28,", ",'Part I-Project Information'!J29," County")</f>
        <v>PART NINE - SCORING CRITERIA  -  2016-524 Wheat Street Tower, Atlanta, Fulton County</v>
      </c>
      <c r="B1" s="1946"/>
      <c r="C1" s="1946"/>
      <c r="D1" s="1946"/>
      <c r="E1" s="1946"/>
      <c r="F1" s="1946"/>
      <c r="G1" s="1946"/>
      <c r="H1" s="1946"/>
      <c r="I1" s="1946"/>
      <c r="J1" s="1946"/>
      <c r="K1" s="1946"/>
      <c r="L1" s="1946"/>
      <c r="M1" s="1946"/>
      <c r="N1" s="1946"/>
      <c r="O1" s="1946"/>
      <c r="P1" s="1947"/>
    </row>
    <row r="2" spans="1:19" s="36" customFormat="1" ht="4.1500000000000004" customHeight="1">
      <c r="A2" s="37"/>
      <c r="B2" s="37"/>
      <c r="C2" s="38"/>
      <c r="D2" s="37"/>
      <c r="E2" s="37"/>
      <c r="F2" s="37"/>
      <c r="G2" s="37"/>
      <c r="H2" s="37"/>
      <c r="I2" s="37"/>
      <c r="J2" s="37"/>
      <c r="K2" s="37"/>
      <c r="L2" s="37"/>
      <c r="M2" s="39"/>
      <c r="N2" s="77"/>
      <c r="O2" s="1809"/>
      <c r="P2" s="1809"/>
    </row>
    <row r="3" spans="1:19" s="36" customFormat="1" ht="12.6" customHeight="1">
      <c r="A3" s="2292" t="s">
        <v>4049</v>
      </c>
      <c r="B3" s="2292"/>
      <c r="C3" s="2292"/>
      <c r="D3" s="2292"/>
      <c r="E3" s="2292"/>
      <c r="F3" s="2292"/>
      <c r="G3" s="2292"/>
      <c r="H3" s="2292"/>
      <c r="I3" s="2292"/>
      <c r="J3" s="2292"/>
      <c r="K3" s="2292"/>
      <c r="L3" s="2292"/>
      <c r="M3" s="97" t="s">
        <v>2298</v>
      </c>
      <c r="N3" s="78"/>
      <c r="O3" s="88" t="s">
        <v>2297</v>
      </c>
      <c r="P3" s="189" t="s">
        <v>268</v>
      </c>
    </row>
    <row r="4" spans="1:19" s="45" customFormat="1" ht="12.6" customHeight="1">
      <c r="A4" s="2292"/>
      <c r="B4" s="2292"/>
      <c r="C4" s="2292"/>
      <c r="D4" s="2292"/>
      <c r="E4" s="2292"/>
      <c r="F4" s="2292"/>
      <c r="G4" s="2292"/>
      <c r="H4" s="2292"/>
      <c r="I4" s="2292"/>
      <c r="J4" s="2292"/>
      <c r="K4" s="2292"/>
      <c r="L4" s="2292"/>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0"/>
      <c r="P5" s="31"/>
    </row>
    <row r="6" spans="1:19" s="45" customFormat="1" ht="12.75" customHeight="1" thickBot="1">
      <c r="A6" s="43"/>
      <c r="B6" s="51"/>
      <c r="C6" s="43"/>
      <c r="D6" s="43"/>
      <c r="E6" s="43"/>
      <c r="F6" s="1857" t="s">
        <v>4221</v>
      </c>
      <c r="G6" s="1858"/>
      <c r="H6" s="1859"/>
      <c r="I6" s="43"/>
      <c r="J6" s="43"/>
      <c r="L6" s="74" t="s">
        <v>1272</v>
      </c>
      <c r="M6" s="295">
        <f>M408</f>
        <v>103</v>
      </c>
      <c r="N6" s="9"/>
      <c r="O6" s="68">
        <f ca="1">O408</f>
        <v>22</v>
      </c>
      <c r="P6" s="68">
        <f ca="1">P408</f>
        <v>22</v>
      </c>
    </row>
    <row r="7" spans="1:19" s="45" customFormat="1" ht="3" customHeight="1">
      <c r="A7" s="43"/>
      <c r="B7" s="51"/>
      <c r="C7" s="43"/>
      <c r="D7" s="43"/>
      <c r="E7" s="43"/>
      <c r="F7" s="43"/>
      <c r="G7" s="43"/>
      <c r="H7" s="43"/>
      <c r="I7" s="43"/>
      <c r="J7" s="43"/>
      <c r="K7" s="43"/>
      <c r="M7" s="97"/>
      <c r="N7" s="10"/>
      <c r="O7" s="1190"/>
      <c r="P7" s="31"/>
    </row>
    <row r="8" spans="1:19" s="43" customFormat="1" ht="12.6" customHeight="1">
      <c r="A8" s="165" t="s">
        <v>2062</v>
      </c>
      <c r="B8" s="112" t="s">
        <v>2903</v>
      </c>
      <c r="C8" s="4"/>
      <c r="D8" s="4"/>
      <c r="E8" s="4"/>
      <c r="F8" s="10"/>
      <c r="H8" s="50" t="s">
        <v>3744</v>
      </c>
      <c r="M8" s="1809">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0"/>
      <c r="R9" s="43"/>
      <c r="S9" s="43"/>
    </row>
    <row r="10" spans="1:19" s="43" customFormat="1" ht="11.25" customHeight="1">
      <c r="A10" s="196" t="s">
        <v>2058</v>
      </c>
      <c r="B10" s="180" t="s">
        <v>1939</v>
      </c>
      <c r="D10" s="49"/>
      <c r="E10" s="49"/>
      <c r="F10" s="1832" t="s">
        <v>2671</v>
      </c>
      <c r="G10" s="1220">
        <f>F15</f>
        <v>0</v>
      </c>
      <c r="H10" s="188" t="s">
        <v>4071</v>
      </c>
      <c r="M10" s="6"/>
      <c r="N10" s="69" t="s">
        <v>2058</v>
      </c>
      <c r="O10" s="2999"/>
      <c r="P10" s="3000">
        <f>F15</f>
        <v>0</v>
      </c>
    </row>
    <row r="11" spans="1:19" s="44" customFormat="1" ht="11.25" customHeight="1">
      <c r="A11" s="196"/>
      <c r="B11" s="116" t="s">
        <v>2191</v>
      </c>
      <c r="D11" s="49"/>
      <c r="E11" s="49"/>
      <c r="F11" s="1832" t="s">
        <v>2671</v>
      </c>
      <c r="G11" s="1220">
        <f>J15</f>
        <v>0</v>
      </c>
      <c r="H11" s="188" t="s">
        <v>2882</v>
      </c>
      <c r="J11" s="50"/>
      <c r="M11" s="6">
        <v>1</v>
      </c>
      <c r="N11" s="69"/>
      <c r="O11" s="3001"/>
      <c r="P11" s="3002">
        <f>J15</f>
        <v>0</v>
      </c>
    </row>
    <row r="12" spans="1:19" s="43" customFormat="1" ht="11.25" customHeight="1">
      <c r="A12" s="196" t="s">
        <v>2061</v>
      </c>
      <c r="B12" s="180" t="s">
        <v>756</v>
      </c>
      <c r="D12" s="49"/>
      <c r="E12" s="49"/>
      <c r="F12" s="1832" t="s">
        <v>2671</v>
      </c>
      <c r="G12" s="1220">
        <f>O15</f>
        <v>0</v>
      </c>
      <c r="H12" s="188" t="s">
        <v>2837</v>
      </c>
      <c r="J12" s="50"/>
      <c r="M12" s="6"/>
      <c r="N12" s="69" t="s">
        <v>2061</v>
      </c>
      <c r="O12" s="3003"/>
      <c r="P12" s="3004">
        <f>O15</f>
        <v>0</v>
      </c>
      <c r="Q12" s="115"/>
    </row>
    <row r="13" spans="1:19" s="43" customFormat="1" ht="10.9" customHeight="1">
      <c r="A13" s="71" t="s">
        <v>1937</v>
      </c>
      <c r="C13" s="100"/>
      <c r="D13" s="100"/>
      <c r="F13" s="1822" t="s">
        <v>1780</v>
      </c>
      <c r="K13" s="1822" t="s">
        <v>1780</v>
      </c>
      <c r="P13" s="527" t="s">
        <v>1780</v>
      </c>
      <c r="R13" s="504"/>
      <c r="S13" s="171"/>
    </row>
    <row r="14" spans="1:19" s="43" customFormat="1" ht="10.9" customHeight="1">
      <c r="A14" s="234" t="s">
        <v>3907</v>
      </c>
      <c r="B14" s="234"/>
      <c r="C14" s="234"/>
      <c r="D14" s="234"/>
      <c r="E14" s="234"/>
      <c r="K14" s="1822"/>
      <c r="P14" s="527"/>
      <c r="R14" s="504"/>
      <c r="S14" s="171"/>
    </row>
    <row r="15" spans="1:19" s="43" customFormat="1" ht="12" customHeight="1">
      <c r="A15" s="1178" t="s">
        <v>3906</v>
      </c>
      <c r="B15" s="1178"/>
      <c r="C15" s="1178"/>
      <c r="D15" s="1178"/>
      <c r="E15" s="70" t="s">
        <v>527</v>
      </c>
      <c r="F15" s="81">
        <f>SUM(F16:F27)</f>
        <v>0</v>
      </c>
      <c r="G15" s="2284" t="s">
        <v>3900</v>
      </c>
      <c r="H15" s="2285"/>
      <c r="I15" s="1179"/>
      <c r="J15" s="81">
        <f>SUM(J16:J27)</f>
        <v>0</v>
      </c>
      <c r="K15" s="2282" t="s">
        <v>3567</v>
      </c>
      <c r="L15" s="2283"/>
      <c r="M15" s="2283"/>
      <c r="N15" s="70" t="s">
        <v>527</v>
      </c>
      <c r="O15" s="2290">
        <f>SUM(O16:O27)</f>
        <v>0</v>
      </c>
      <c r="P15" s="2291"/>
      <c r="Q15" s="504"/>
      <c r="R15" s="171"/>
    </row>
    <row r="16" spans="1:19" s="43" customFormat="1" ht="37.5" customHeight="1">
      <c r="A16" s="2279">
        <v>1</v>
      </c>
      <c r="B16" s="2280"/>
      <c r="C16" s="2280"/>
      <c r="D16" s="2280"/>
      <c r="E16" s="2281"/>
      <c r="F16" s="1180"/>
      <c r="G16" s="2279">
        <v>1</v>
      </c>
      <c r="H16" s="2280"/>
      <c r="I16" s="2281"/>
      <c r="J16" s="1185" t="s">
        <v>1799</v>
      </c>
      <c r="K16" s="2277">
        <v>1</v>
      </c>
      <c r="L16" s="2278"/>
      <c r="M16" s="2278"/>
      <c r="N16" s="2278"/>
      <c r="O16" s="2288" t="s">
        <v>1799</v>
      </c>
      <c r="P16" s="2289"/>
      <c r="Q16" s="502" t="s">
        <v>1301</v>
      </c>
      <c r="R16" s="171"/>
    </row>
    <row r="17" spans="1:18" s="43" customFormat="1" ht="37.5" customHeight="1">
      <c r="A17" s="2193">
        <v>2</v>
      </c>
      <c r="B17" s="2194"/>
      <c r="C17" s="2194"/>
      <c r="D17" s="2194"/>
      <c r="E17" s="2195"/>
      <c r="F17" s="1181"/>
      <c r="G17" s="2193">
        <v>2</v>
      </c>
      <c r="H17" s="2194"/>
      <c r="I17" s="2195"/>
      <c r="J17" s="1181"/>
      <c r="K17" s="2236">
        <v>2</v>
      </c>
      <c r="L17" s="2237"/>
      <c r="M17" s="2237"/>
      <c r="N17" s="2237"/>
      <c r="O17" s="2253"/>
      <c r="P17" s="2254"/>
      <c r="Q17" s="503"/>
      <c r="R17" s="171"/>
    </row>
    <row r="18" spans="1:18" s="43" customFormat="1" ht="37.5" customHeight="1">
      <c r="A18" s="2193">
        <v>3</v>
      </c>
      <c r="B18" s="2194"/>
      <c r="C18" s="2194"/>
      <c r="D18" s="2194"/>
      <c r="E18" s="2195"/>
      <c r="F18" s="1181"/>
      <c r="G18" s="2193">
        <v>3</v>
      </c>
      <c r="H18" s="2194"/>
      <c r="I18" s="2195"/>
      <c r="J18" s="1186" t="s">
        <v>3057</v>
      </c>
      <c r="K18" s="2236">
        <v>3</v>
      </c>
      <c r="L18" s="2237"/>
      <c r="M18" s="2237"/>
      <c r="N18" s="2237"/>
      <c r="O18" s="2286" t="s">
        <v>3057</v>
      </c>
      <c r="P18" s="2287"/>
      <c r="Q18" s="503"/>
      <c r="R18" s="171"/>
    </row>
    <row r="19" spans="1:18" s="43" customFormat="1" ht="37.5" customHeight="1">
      <c r="A19" s="2193">
        <v>4</v>
      </c>
      <c r="B19" s="2194"/>
      <c r="C19" s="2194"/>
      <c r="D19" s="2194"/>
      <c r="E19" s="2195"/>
      <c r="F19" s="1181"/>
      <c r="G19" s="2193">
        <v>4</v>
      </c>
      <c r="H19" s="2194"/>
      <c r="I19" s="2195"/>
      <c r="J19" s="1181"/>
      <c r="K19" s="2236">
        <v>4</v>
      </c>
      <c r="L19" s="2237"/>
      <c r="M19" s="2237"/>
      <c r="N19" s="2237"/>
      <c r="O19" s="2286" t="s">
        <v>3057</v>
      </c>
      <c r="P19" s="2287"/>
      <c r="Q19" s="503"/>
      <c r="R19" s="171"/>
    </row>
    <row r="20" spans="1:18" s="43" customFormat="1" ht="37.5" customHeight="1">
      <c r="A20" s="2193">
        <v>5</v>
      </c>
      <c r="B20" s="2194"/>
      <c r="C20" s="2194"/>
      <c r="D20" s="2194"/>
      <c r="E20" s="2195"/>
      <c r="F20" s="1181"/>
      <c r="G20" s="2193">
        <v>5</v>
      </c>
      <c r="H20" s="2194"/>
      <c r="I20" s="2195"/>
      <c r="J20" s="1186" t="s">
        <v>3902</v>
      </c>
      <c r="K20" s="2236">
        <v>5</v>
      </c>
      <c r="L20" s="2237"/>
      <c r="M20" s="2237"/>
      <c r="N20" s="2237"/>
      <c r="O20" s="2253"/>
      <c r="P20" s="2254"/>
      <c r="Q20" s="171"/>
      <c r="R20" s="171"/>
    </row>
    <row r="21" spans="1:18" s="43" customFormat="1" ht="37.5" customHeight="1">
      <c r="A21" s="2193">
        <v>6</v>
      </c>
      <c r="B21" s="2194"/>
      <c r="C21" s="2194"/>
      <c r="D21" s="2194"/>
      <c r="E21" s="2195"/>
      <c r="F21" s="1181"/>
      <c r="G21" s="2193">
        <v>6</v>
      </c>
      <c r="H21" s="2194"/>
      <c r="I21" s="2195"/>
      <c r="J21" s="1181"/>
      <c r="K21" s="2236">
        <v>6</v>
      </c>
      <c r="L21" s="2237"/>
      <c r="M21" s="2237"/>
      <c r="N21" s="2237"/>
      <c r="O21" s="2253"/>
      <c r="P21" s="2254"/>
      <c r="Q21" s="171"/>
      <c r="R21" s="171"/>
    </row>
    <row r="22" spans="1:18" s="43" customFormat="1" ht="37.5" customHeight="1">
      <c r="A22" s="2193">
        <v>7</v>
      </c>
      <c r="B22" s="2194"/>
      <c r="C22" s="2194"/>
      <c r="D22" s="2194"/>
      <c r="E22" s="2195"/>
      <c r="F22" s="1181"/>
      <c r="G22" s="2193">
        <v>7</v>
      </c>
      <c r="H22" s="2194"/>
      <c r="I22" s="2195"/>
      <c r="J22" s="1186" t="s">
        <v>3903</v>
      </c>
      <c r="K22" s="2236">
        <v>7</v>
      </c>
      <c r="L22" s="2237"/>
      <c r="M22" s="2237"/>
      <c r="N22" s="2237"/>
      <c r="O22" s="2253"/>
      <c r="P22" s="2254"/>
      <c r="Q22" s="171"/>
      <c r="R22" s="171"/>
    </row>
    <row r="23" spans="1:18" s="43" customFormat="1" ht="37.5" customHeight="1">
      <c r="A23" s="2193">
        <v>8</v>
      </c>
      <c r="B23" s="2194"/>
      <c r="C23" s="2194"/>
      <c r="D23" s="2194"/>
      <c r="E23" s="2195"/>
      <c r="F23" s="1181"/>
      <c r="G23" s="2193">
        <v>8</v>
      </c>
      <c r="H23" s="2194"/>
      <c r="I23" s="2195"/>
      <c r="J23" s="1181"/>
      <c r="K23" s="2236">
        <v>8</v>
      </c>
      <c r="L23" s="2237"/>
      <c r="M23" s="2237"/>
      <c r="N23" s="2237"/>
      <c r="O23" s="2253"/>
      <c r="P23" s="2254"/>
      <c r="Q23" s="171"/>
      <c r="R23" s="171"/>
    </row>
    <row r="24" spans="1:18" s="43" customFormat="1" ht="24" customHeight="1">
      <c r="A24" s="2193">
        <v>9</v>
      </c>
      <c r="B24" s="2194"/>
      <c r="C24" s="2194"/>
      <c r="D24" s="2194"/>
      <c r="E24" s="2195"/>
      <c r="F24" s="1181"/>
      <c r="G24" s="2193">
        <v>9</v>
      </c>
      <c r="H24" s="2194"/>
      <c r="I24" s="2195"/>
      <c r="J24" s="1186" t="s">
        <v>3904</v>
      </c>
      <c r="K24" s="2236">
        <v>9</v>
      </c>
      <c r="L24" s="2237"/>
      <c r="M24" s="2237"/>
      <c r="N24" s="2237"/>
      <c r="O24" s="2253"/>
      <c r="P24" s="2254"/>
      <c r="Q24" s="171"/>
      <c r="R24" s="171"/>
    </row>
    <row r="25" spans="1:18" s="43" customFormat="1" ht="24" customHeight="1">
      <c r="A25" s="2193">
        <v>10</v>
      </c>
      <c r="B25" s="2194"/>
      <c r="C25" s="2194"/>
      <c r="D25" s="2194"/>
      <c r="E25" s="2195"/>
      <c r="F25" s="1181"/>
      <c r="G25" s="2193">
        <v>10</v>
      </c>
      <c r="H25" s="2194"/>
      <c r="I25" s="2195"/>
      <c r="J25" s="1181"/>
      <c r="K25" s="2236">
        <v>10</v>
      </c>
      <c r="L25" s="2237"/>
      <c r="M25" s="2237"/>
      <c r="N25" s="2237"/>
      <c r="O25" s="2253"/>
      <c r="P25" s="2254"/>
      <c r="Q25" s="171"/>
      <c r="R25" s="171"/>
    </row>
    <row r="26" spans="1:18" s="43" customFormat="1" ht="24" customHeight="1">
      <c r="A26" s="2193">
        <v>11</v>
      </c>
      <c r="B26" s="2194"/>
      <c r="C26" s="2194"/>
      <c r="D26" s="2194"/>
      <c r="E26" s="2195"/>
      <c r="F26" s="1181"/>
      <c r="G26" s="2193">
        <v>11</v>
      </c>
      <c r="H26" s="2194"/>
      <c r="I26" s="2195"/>
      <c r="J26" s="1186" t="s">
        <v>3905</v>
      </c>
      <c r="K26" s="2193">
        <v>11</v>
      </c>
      <c r="L26" s="2194"/>
      <c r="M26" s="2194"/>
      <c r="N26" s="2195"/>
      <c r="O26" s="2253"/>
      <c r="P26" s="2254"/>
      <c r="Q26" s="171"/>
      <c r="R26" s="171"/>
    </row>
    <row r="27" spans="1:18" s="43" customFormat="1" ht="24" customHeight="1">
      <c r="A27" s="2233">
        <v>12</v>
      </c>
      <c r="B27" s="2234"/>
      <c r="C27" s="2234"/>
      <c r="D27" s="2234"/>
      <c r="E27" s="2235"/>
      <c r="F27" s="1182"/>
      <c r="G27" s="2233">
        <v>12</v>
      </c>
      <c r="H27" s="2234"/>
      <c r="I27" s="2235"/>
      <c r="J27" s="1182"/>
      <c r="K27" s="2233">
        <v>12</v>
      </c>
      <c r="L27" s="2234"/>
      <c r="M27" s="2234"/>
      <c r="N27" s="2235"/>
      <c r="O27" s="2255"/>
      <c r="P27" s="2256"/>
    </row>
    <row r="28" spans="1:18" s="44" customFormat="1" ht="3" customHeight="1">
      <c r="D28" s="40"/>
      <c r="E28" s="37"/>
      <c r="F28" s="1190"/>
      <c r="G28" s="1190"/>
      <c r="H28" s="1190"/>
      <c r="I28" s="1190"/>
      <c r="J28" s="1220"/>
      <c r="K28" s="1220"/>
      <c r="L28" s="1220"/>
      <c r="M28" s="63"/>
      <c r="N28" s="1190"/>
      <c r="O28" s="1813"/>
      <c r="P28" s="3"/>
    </row>
    <row r="29" spans="1:18" s="44" customFormat="1" ht="12.6" customHeight="1">
      <c r="A29" s="497" t="s">
        <v>2064</v>
      </c>
      <c r="B29" s="119" t="s">
        <v>3908</v>
      </c>
      <c r="E29" s="60"/>
      <c r="G29" s="93"/>
      <c r="H29" s="54"/>
      <c r="I29" s="46" t="s">
        <v>3767</v>
      </c>
      <c r="M29" s="1190">
        <v>3</v>
      </c>
      <c r="N29" s="7"/>
      <c r="O29" s="68">
        <f>IF(AND(O33&gt;0,O37&gt;0),"AorB?",MIN($M$29,O33+O37))</f>
        <v>0</v>
      </c>
      <c r="P29" s="68">
        <f>IF(AND(P33&gt;0,P37&gt;0),"AorB?",MIN($M$29,P33+P37))</f>
        <v>0</v>
      </c>
      <c r="Q29" s="115" t="s">
        <v>456</v>
      </c>
      <c r="R29" s="417" t="str">
        <f>IF(OR($O29=$M29,$O29=0,$O29=""),"","* * Check Score! * *")</f>
        <v/>
      </c>
    </row>
    <row r="30" spans="1:18" s="44" customFormat="1" ht="6" customHeight="1">
      <c r="A30" s="497"/>
      <c r="B30" s="119"/>
      <c r="E30" s="60"/>
      <c r="G30" s="93"/>
      <c r="H30" s="54"/>
      <c r="I30" s="46"/>
      <c r="K30" s="610"/>
      <c r="L30" s="1188"/>
      <c r="M30" s="1190"/>
      <c r="N30" s="7"/>
      <c r="O30" s="1189"/>
      <c r="P30" s="3"/>
      <c r="Q30" s="115"/>
      <c r="R30" s="417"/>
    </row>
    <row r="31" spans="1:18" s="44" customFormat="1" ht="13.5" customHeight="1">
      <c r="A31" s="149" t="s">
        <v>2058</v>
      </c>
      <c r="B31" s="1264" t="s">
        <v>2713</v>
      </c>
      <c r="E31" s="60"/>
      <c r="G31" s="93"/>
      <c r="H31" s="2239" t="s">
        <v>3909</v>
      </c>
      <c r="I31" s="2239"/>
      <c r="J31" s="1266">
        <f>'Part VI-Revenues &amp; Expenses'!$O$60</f>
        <v>208</v>
      </c>
      <c r="K31" s="1265"/>
      <c r="M31" s="1190"/>
      <c r="N31" s="7"/>
      <c r="Q31" s="7"/>
      <c r="R31" s="417"/>
    </row>
    <row r="32" spans="1:18" s="108" customFormat="1" ht="13.5" customHeight="1">
      <c r="A32" s="149"/>
      <c r="B32" s="2138" t="s">
        <v>3910</v>
      </c>
      <c r="C32" s="2138"/>
      <c r="D32" s="2138"/>
      <c r="E32" s="2138"/>
      <c r="F32" s="2138"/>
      <c r="G32" s="1179"/>
      <c r="H32" s="1269" t="s">
        <v>3911</v>
      </c>
      <c r="I32" s="1269" t="s">
        <v>3912</v>
      </c>
      <c r="J32" s="1179"/>
      <c r="K32" s="2240" t="s">
        <v>3569</v>
      </c>
      <c r="L32" s="2240"/>
      <c r="M32" s="1190"/>
      <c r="N32" s="7"/>
      <c r="Q32" s="7"/>
      <c r="R32" s="417"/>
    </row>
    <row r="33" spans="1:18" s="108" customFormat="1" ht="13.5" customHeight="1">
      <c r="B33" s="2138"/>
      <c r="C33" s="2138"/>
      <c r="D33" s="2138"/>
      <c r="E33" s="2138"/>
      <c r="F33" s="2138"/>
      <c r="G33" s="2248" t="s">
        <v>4213</v>
      </c>
      <c r="H33" s="2248"/>
      <c r="I33" s="2248"/>
      <c r="J33" s="2248"/>
      <c r="K33" s="1269" t="s">
        <v>3911</v>
      </c>
      <c r="L33" s="1269" t="s">
        <v>3912</v>
      </c>
      <c r="M33" s="484"/>
      <c r="N33" s="434" t="s">
        <v>2058</v>
      </c>
      <c r="O33" s="1274">
        <f>SUM(O34:O35)</f>
        <v>0</v>
      </c>
      <c r="P33" s="1274">
        <f>SUM(P34:P35)</f>
        <v>0</v>
      </c>
    </row>
    <row r="34" spans="1:18" s="478" customFormat="1" ht="13.5" customHeight="1">
      <c r="A34" s="477"/>
      <c r="B34" s="765" t="s">
        <v>2062</v>
      </c>
      <c r="C34" s="766">
        <v>0.15</v>
      </c>
      <c r="D34" s="150" t="s">
        <v>3568</v>
      </c>
      <c r="H34" s="3005"/>
      <c r="I34" s="627"/>
      <c r="K34" s="767">
        <f>IF(OR('Part VI-Revenues &amp; Expenses'!$O$60="", 'Part VI-Revenues &amp; Expenses'!$O$60=0),0,H34/'Part VI-Revenues &amp; Expenses'!$O$60)</f>
        <v>0</v>
      </c>
      <c r="L34" s="767">
        <f>IF(OR('Part VI-Revenues &amp; Expenses'!$O$60="", 'Part VI-Revenues &amp; Expenses'!$O$60=0),0,I34/'Part VI-Revenues &amp; Expenses'!$O$60)</f>
        <v>0</v>
      </c>
      <c r="M34" s="484">
        <v>1</v>
      </c>
      <c r="N34" s="434" t="s">
        <v>2062</v>
      </c>
      <c r="O34" s="1267">
        <f>IF(AND(K34 &gt;= $C$34,K34&lt;$C$35),$M34,0)</f>
        <v>0</v>
      </c>
      <c r="P34" s="1267">
        <f>IF(AND(L34 &gt;= $C$34,L34&lt;$C$35),$M34,0)</f>
        <v>0</v>
      </c>
    </row>
    <row r="35" spans="1:18" s="478" customFormat="1" ht="13.5" customHeight="1">
      <c r="A35" s="773" t="s">
        <v>3530</v>
      </c>
      <c r="B35" s="765" t="s">
        <v>2064</v>
      </c>
      <c r="C35" s="766">
        <v>0.2</v>
      </c>
      <c r="D35" s="150" t="s">
        <v>3568</v>
      </c>
      <c r="H35" s="3006"/>
      <c r="I35" s="764"/>
      <c r="K35" s="1325">
        <f>IF(OR('Part VI-Revenues &amp; Expenses'!$O$60="", 'Part VI-Revenues &amp; Expenses'!$O$60=0),0,H35/'Part VI-Revenues &amp; Expenses'!$O$60)</f>
        <v>0</v>
      </c>
      <c r="L35" s="1325">
        <f>IF(OR('Part VI-Revenues &amp; Expenses'!$O$60="", 'Part VI-Revenues &amp; Expenses'!$O$60=0),0,I35/'Part VI-Revenues &amp; Expenses'!$O$60)</f>
        <v>0</v>
      </c>
      <c r="M35" s="484">
        <v>2</v>
      </c>
      <c r="N35" s="434" t="s">
        <v>2064</v>
      </c>
      <c r="O35" s="1268">
        <f>IF(K35&gt;=$C$35,$M35,0)</f>
        <v>0</v>
      </c>
      <c r="P35" s="1268">
        <f>IF(L35&gt;=$C$35,$M35,0)</f>
        <v>0</v>
      </c>
    </row>
    <row r="36" spans="1:18" s="478" customFormat="1" ht="6.75" customHeight="1">
      <c r="A36" s="773"/>
      <c r="B36" s="765"/>
      <c r="C36" s="766"/>
      <c r="D36" s="150"/>
      <c r="K36" s="1263"/>
      <c r="L36" s="1263"/>
      <c r="M36" s="484"/>
      <c r="N36" s="434"/>
      <c r="O36" s="1273"/>
      <c r="P36" s="1273"/>
    </row>
    <row r="37" spans="1:18" s="478" customFormat="1" ht="13.5" customHeight="1">
      <c r="A37" s="149" t="s">
        <v>2061</v>
      </c>
      <c r="B37" s="1264" t="s">
        <v>4075</v>
      </c>
      <c r="E37" s="479"/>
      <c r="H37" s="2248" t="s">
        <v>4077</v>
      </c>
      <c r="I37" s="2248"/>
      <c r="M37" s="484"/>
      <c r="N37" s="174" t="s">
        <v>2061</v>
      </c>
      <c r="O37" s="1274">
        <f>SUM(O38:O39)</f>
        <v>0</v>
      </c>
      <c r="P37" s="1274">
        <f>SUM(P38:P39)</f>
        <v>0</v>
      </c>
    </row>
    <row r="38" spans="1:18" s="478" customFormat="1" ht="13.5" customHeight="1">
      <c r="A38" s="477"/>
      <c r="B38" s="765" t="s">
        <v>2062</v>
      </c>
      <c r="C38" s="766">
        <v>0.15</v>
      </c>
      <c r="D38" s="150" t="s">
        <v>4076</v>
      </c>
      <c r="E38" s="479"/>
      <c r="F38" s="1183"/>
      <c r="H38" s="3007"/>
      <c r="I38" s="1187"/>
      <c r="J38" s="1161"/>
      <c r="K38" s="1325">
        <f>IF(OR('Part VI-Revenues &amp; Expenses'!$O$60="", 'Part VI-Revenues &amp; Expenses'!$O$60=0),0,H38/'Part VI-Revenues &amp; Expenses'!$O$60)</f>
        <v>0</v>
      </c>
      <c r="L38" s="1325">
        <f>IF(OR('Part VI-Revenues &amp; Expenses'!$O$60="", 'Part VI-Revenues &amp; Expenses'!$O$60=0),0,I38/'Part VI-Revenues &amp; Expenses'!$O$60)</f>
        <v>0</v>
      </c>
      <c r="M38" s="484">
        <v>2</v>
      </c>
      <c r="N38" s="434" t="s">
        <v>2062</v>
      </c>
      <c r="O38" s="1272">
        <f>IF(K38 &gt;= $C$38,$M38,0)</f>
        <v>0</v>
      </c>
      <c r="P38" s="1267">
        <f>IF(L38 &gt;= $C$38,$M38,0)</f>
        <v>0</v>
      </c>
    </row>
    <row r="39" spans="1:18" s="478" customFormat="1" ht="13.5" customHeight="1">
      <c r="A39" s="773" t="s">
        <v>3530</v>
      </c>
      <c r="B39" s="765" t="s">
        <v>2064</v>
      </c>
      <c r="C39" s="1183" t="s">
        <v>4079</v>
      </c>
      <c r="E39" s="1349">
        <v>3</v>
      </c>
      <c r="F39" s="1183" t="s">
        <v>4078</v>
      </c>
      <c r="I39" s="1271" t="s">
        <v>4080</v>
      </c>
      <c r="K39" s="1270">
        <f>O113</f>
        <v>0</v>
      </c>
      <c r="L39" s="1270">
        <f>P113</f>
        <v>0</v>
      </c>
      <c r="M39" s="484">
        <v>1</v>
      </c>
      <c r="N39" s="434" t="s">
        <v>2064</v>
      </c>
      <c r="O39" s="3008"/>
      <c r="P39" s="626"/>
    </row>
    <row r="40" spans="1:18" s="44" customFormat="1" ht="10.5" customHeight="1">
      <c r="A40" s="43"/>
      <c r="B40" s="103" t="s">
        <v>1937</v>
      </c>
      <c r="C40" s="478"/>
      <c r="D40" s="91"/>
      <c r="E40" s="1814"/>
      <c r="F40" s="1814"/>
      <c r="G40" s="1814"/>
      <c r="H40" s="1814"/>
      <c r="I40" s="1814"/>
      <c r="J40" s="1814"/>
      <c r="K40" s="1814"/>
      <c r="L40" s="1814"/>
      <c r="M40" s="1814"/>
      <c r="N40" s="79"/>
      <c r="O40" s="75"/>
      <c r="P40" s="1809"/>
      <c r="Q40" s="478"/>
    </row>
    <row r="41" spans="1:18" s="44" customFormat="1" ht="23.25" customHeight="1">
      <c r="A41" s="2121"/>
      <c r="B41" s="2122"/>
      <c r="C41" s="2122"/>
      <c r="D41" s="2122"/>
      <c r="E41" s="2122"/>
      <c r="F41" s="2122"/>
      <c r="G41" s="2122"/>
      <c r="H41" s="2122"/>
      <c r="I41" s="2122"/>
      <c r="J41" s="2122"/>
      <c r="K41" s="2122"/>
      <c r="L41" s="2122"/>
      <c r="M41" s="2122"/>
      <c r="N41" s="2122"/>
      <c r="O41" s="2122"/>
      <c r="P41" s="2123"/>
      <c r="Q41" s="502" t="s">
        <v>1301</v>
      </c>
    </row>
    <row r="42" spans="1:18" ht="3" customHeight="1"/>
    <row r="43" spans="1:18" s="44" customFormat="1" ht="12.6" customHeight="1">
      <c r="A43" s="165" t="s">
        <v>2622</v>
      </c>
      <c r="B43" s="111" t="s">
        <v>1945</v>
      </c>
      <c r="D43" s="42"/>
      <c r="I43" s="2303" t="s">
        <v>619</v>
      </c>
      <c r="J43" s="2303"/>
      <c r="K43" s="2303"/>
      <c r="L43" s="2303"/>
      <c r="M43" s="1809">
        <v>13</v>
      </c>
      <c r="N43" s="527"/>
      <c r="O43" s="68">
        <f>IF(OR($M45-O50+O46&lt;0,O45-O50-O46&lt;0),0,IF(O45&lt;=$M45,O45-O50+O46,IF(O45&gt;$M45,$M45-O50+O46,0)))</f>
        <v>0</v>
      </c>
      <c r="P43" s="68">
        <f>IF(OR($M45-P50+P46&lt;0,P45-P50-P46&lt;0),0,IF(P45&lt;=$M45,P45-P50+P46,IF(P45&gt;$M45,$M45-P50+P46,0)))</f>
        <v>0</v>
      </c>
      <c r="Q43" s="115" t="s">
        <v>456</v>
      </c>
    </row>
    <row r="44" spans="1:18" s="44" customFormat="1" ht="3" customHeight="1">
      <c r="A44" s="43"/>
      <c r="D44" s="40"/>
      <c r="E44" s="37"/>
      <c r="F44" s="1190"/>
      <c r="G44" s="1190"/>
      <c r="I44" s="2303"/>
      <c r="J44" s="2303"/>
      <c r="K44" s="2303"/>
      <c r="L44" s="2303"/>
      <c r="M44" s="63"/>
      <c r="N44" s="1190"/>
      <c r="O44" s="1813"/>
      <c r="P44" s="3"/>
    </row>
    <row r="45" spans="1:18" s="44" customFormat="1" ht="12" customHeight="1">
      <c r="A45" s="149" t="s">
        <v>2058</v>
      </c>
      <c r="B45" s="180" t="s">
        <v>1946</v>
      </c>
      <c r="C45" s="4"/>
      <c r="D45" s="4"/>
      <c r="E45" s="188" t="s">
        <v>2825</v>
      </c>
      <c r="F45" s="331"/>
      <c r="G45" s="331"/>
      <c r="I45" s="2303"/>
      <c r="J45" s="2303"/>
      <c r="K45" s="2303"/>
      <c r="L45" s="2303"/>
      <c r="M45" s="77">
        <v>12</v>
      </c>
      <c r="N45" s="192" t="s">
        <v>2058</v>
      </c>
      <c r="O45" s="3009"/>
      <c r="P45" s="624"/>
      <c r="Q45" s="433" t="s">
        <v>2811</v>
      </c>
      <c r="R45" s="417"/>
    </row>
    <row r="46" spans="1:18" s="44" customFormat="1" ht="12" customHeight="1">
      <c r="A46" s="149" t="s">
        <v>2061</v>
      </c>
      <c r="B46" s="180" t="s">
        <v>3631</v>
      </c>
      <c r="C46" s="4"/>
      <c r="D46" s="4"/>
      <c r="F46" s="188" t="s">
        <v>3652</v>
      </c>
      <c r="H46" s="331"/>
      <c r="I46" s="188" t="s">
        <v>3653</v>
      </c>
      <c r="L46" s="1184" t="s">
        <v>3632</v>
      </c>
      <c r="M46" s="77">
        <v>1</v>
      </c>
      <c r="N46" s="527" t="s">
        <v>2061</v>
      </c>
      <c r="O46" s="3010"/>
      <c r="P46" s="626"/>
      <c r="Q46" s="433" t="s">
        <v>2811</v>
      </c>
      <c r="R46" s="417"/>
    </row>
    <row r="47" spans="1:18" s="44" customFormat="1" ht="12" customHeight="1">
      <c r="A47" s="149"/>
      <c r="B47" s="2241" t="s">
        <v>4081</v>
      </c>
      <c r="C47" s="2241"/>
      <c r="D47" s="2241"/>
      <c r="E47" s="2241"/>
      <c r="F47" s="3011" t="s">
        <v>3651</v>
      </c>
      <c r="G47" s="3012"/>
      <c r="H47" s="3013"/>
      <c r="I47" s="3011"/>
      <c r="J47" s="3012"/>
      <c r="K47" s="3013"/>
      <c r="L47" s="3014"/>
      <c r="M47" s="77"/>
      <c r="N47" s="192"/>
      <c r="O47" s="192"/>
      <c r="P47" s="192"/>
      <c r="Q47" s="433"/>
      <c r="R47" s="417"/>
    </row>
    <row r="48" spans="1:18" s="44" customFormat="1" ht="12" customHeight="1">
      <c r="A48" s="149"/>
      <c r="B48" s="2241"/>
      <c r="C48" s="2241"/>
      <c r="D48" s="2241"/>
      <c r="E48" s="2241"/>
      <c r="F48" s="3015" t="s">
        <v>3651</v>
      </c>
      <c r="G48" s="3016"/>
      <c r="H48" s="3017"/>
      <c r="I48" s="3015"/>
      <c r="J48" s="3016"/>
      <c r="K48" s="3017"/>
      <c r="L48" s="3018"/>
      <c r="M48" s="77"/>
      <c r="N48" s="192"/>
      <c r="O48" s="192"/>
      <c r="P48" s="192"/>
      <c r="Q48" s="433"/>
      <c r="R48" s="417"/>
    </row>
    <row r="49" spans="1:18" s="44" customFormat="1" ht="12" customHeight="1">
      <c r="A49" s="149"/>
      <c r="B49" s="2241"/>
      <c r="C49" s="2241"/>
      <c r="D49" s="2241"/>
      <c r="E49" s="2241"/>
      <c r="F49" s="3019" t="s">
        <v>3651</v>
      </c>
      <c r="G49" s="3020"/>
      <c r="H49" s="3021"/>
      <c r="I49" s="3019"/>
      <c r="J49" s="3020"/>
      <c r="K49" s="3021"/>
      <c r="L49" s="3022"/>
      <c r="M49" s="77"/>
      <c r="N49" s="192"/>
      <c r="O49" s="192"/>
      <c r="P49" s="192"/>
      <c r="Q49" s="433"/>
      <c r="R49" s="417"/>
    </row>
    <row r="50" spans="1:18" s="44" customFormat="1" ht="12.6" customHeight="1">
      <c r="A50" s="149" t="s">
        <v>779</v>
      </c>
      <c r="B50" s="180" t="s">
        <v>1947</v>
      </c>
      <c r="D50" s="42"/>
      <c r="E50" s="188" t="s">
        <v>442</v>
      </c>
      <c r="F50" s="437"/>
      <c r="G50" s="437"/>
      <c r="H50" s="437"/>
      <c r="M50" s="1822" t="s">
        <v>1285</v>
      </c>
      <c r="N50" s="527" t="s">
        <v>779</v>
      </c>
      <c r="O50" s="3023"/>
      <c r="P50" s="1146"/>
      <c r="Q50" s="433" t="s">
        <v>2811</v>
      </c>
      <c r="R50" s="417"/>
    </row>
    <row r="51" spans="1:18" s="44" customFormat="1" ht="11.25" customHeight="1">
      <c r="A51" s="43"/>
      <c r="B51" s="50" t="s">
        <v>267</v>
      </c>
      <c r="C51" s="43"/>
      <c r="D51" s="49"/>
      <c r="E51" s="49"/>
      <c r="F51" s="49"/>
      <c r="G51" s="49"/>
      <c r="H51" s="37"/>
      <c r="I51" s="37"/>
      <c r="J51" s="37"/>
      <c r="K51" s="37"/>
      <c r="M51" s="47"/>
      <c r="N51" s="65"/>
      <c r="O51" s="3"/>
      <c r="P51" s="1813"/>
    </row>
    <row r="52" spans="1:18" s="44" customFormat="1" ht="23.45" customHeight="1">
      <c r="A52" s="2900"/>
      <c r="B52" s="2901"/>
      <c r="C52" s="2901"/>
      <c r="D52" s="2901"/>
      <c r="E52" s="2901"/>
      <c r="F52" s="2901"/>
      <c r="G52" s="2901"/>
      <c r="H52" s="2901"/>
      <c r="I52" s="2901"/>
      <c r="J52" s="2901"/>
      <c r="K52" s="2901"/>
      <c r="L52" s="2901"/>
      <c r="M52" s="2901"/>
      <c r="N52" s="2901"/>
      <c r="O52" s="2901"/>
      <c r="P52" s="2902"/>
      <c r="Q52" s="502" t="s">
        <v>1301</v>
      </c>
      <c r="R52" s="503"/>
    </row>
    <row r="53" spans="1:18" s="44" customFormat="1" ht="11.45" customHeight="1">
      <c r="A53" s="43"/>
      <c r="B53" s="71" t="s">
        <v>1937</v>
      </c>
      <c r="C53" s="43"/>
      <c r="D53" s="147"/>
      <c r="E53" s="1814"/>
      <c r="F53" s="1814"/>
      <c r="G53" s="1814"/>
      <c r="H53" s="1814"/>
      <c r="I53" s="1814"/>
      <c r="J53" s="1814"/>
      <c r="K53" s="1814"/>
      <c r="L53" s="1814"/>
      <c r="M53" s="1814"/>
      <c r="N53" s="79"/>
      <c r="O53" s="75"/>
      <c r="P53" s="1809"/>
      <c r="Q53" s="478"/>
      <c r="R53" s="478"/>
    </row>
    <row r="54" spans="1:18" s="44" customFormat="1" ht="23.45" customHeight="1">
      <c r="A54" s="2121"/>
      <c r="B54" s="2122"/>
      <c r="C54" s="2122"/>
      <c r="D54" s="2122"/>
      <c r="E54" s="2122"/>
      <c r="F54" s="2122"/>
      <c r="G54" s="2122"/>
      <c r="H54" s="2122"/>
      <c r="I54" s="2122"/>
      <c r="J54" s="2122"/>
      <c r="K54" s="2122"/>
      <c r="L54" s="2122"/>
      <c r="M54" s="2122"/>
      <c r="N54" s="2122"/>
      <c r="O54" s="2122"/>
      <c r="P54" s="2123"/>
      <c r="Q54" s="502" t="s">
        <v>1301</v>
      </c>
      <c r="R54" s="503"/>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809">
        <v>5</v>
      </c>
      <c r="N56" s="527"/>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3913</v>
      </c>
      <c r="D57" s="42"/>
      <c r="H57" s="46"/>
      <c r="I57" s="50"/>
      <c r="J57" s="49"/>
      <c r="K57" s="49"/>
      <c r="M57" s="1809"/>
      <c r="N57" s="527"/>
      <c r="O57" s="1191" t="s">
        <v>3920</v>
      </c>
      <c r="P57" s="1191" t="s">
        <v>3921</v>
      </c>
      <c r="Q57" s="115"/>
    </row>
    <row r="58" spans="1:18" s="44" customFormat="1" ht="12.6" customHeight="1">
      <c r="A58" s="165"/>
      <c r="B58" s="543" t="s">
        <v>2062</v>
      </c>
      <c r="C58" s="57" t="s">
        <v>3914</v>
      </c>
      <c r="D58" s="42"/>
      <c r="H58" s="46"/>
      <c r="I58" s="50"/>
      <c r="J58" s="49"/>
      <c r="K58" s="49"/>
      <c r="M58" s="1809"/>
      <c r="N58" s="527"/>
      <c r="O58" s="2896"/>
      <c r="P58" s="629"/>
      <c r="Q58" s="115"/>
    </row>
    <row r="59" spans="1:18" s="44" customFormat="1" ht="12.6" customHeight="1">
      <c r="A59" s="165"/>
      <c r="B59" s="543" t="s">
        <v>2064</v>
      </c>
      <c r="C59" s="57" t="s">
        <v>3915</v>
      </c>
      <c r="D59" s="42"/>
      <c r="H59" s="46"/>
      <c r="I59" s="50"/>
      <c r="J59" s="49"/>
      <c r="K59" s="49"/>
      <c r="M59" s="1809"/>
      <c r="N59" s="527"/>
      <c r="O59" s="527"/>
      <c r="P59" s="630"/>
      <c r="Q59" s="115"/>
    </row>
    <row r="60" spans="1:18" s="44" customFormat="1" ht="12.6" customHeight="1">
      <c r="A60" s="165"/>
      <c r="B60" s="543" t="s">
        <v>2622</v>
      </c>
      <c r="C60" s="57" t="s">
        <v>3916</v>
      </c>
      <c r="D60" s="42"/>
      <c r="H60" s="46"/>
      <c r="I60" s="50"/>
      <c r="J60" s="49"/>
      <c r="K60" s="49"/>
      <c r="M60" s="1809"/>
      <c r="N60" s="527"/>
      <c r="O60" s="2896"/>
      <c r="P60" s="629"/>
      <c r="Q60" s="115"/>
    </row>
    <row r="61" spans="1:18" s="44" customFormat="1" ht="22.5" customHeight="1">
      <c r="A61" s="165"/>
      <c r="B61" s="543" t="s">
        <v>1270</v>
      </c>
      <c r="C61" s="2232" t="s">
        <v>3917</v>
      </c>
      <c r="D61" s="2232"/>
      <c r="E61" s="2232"/>
      <c r="F61" s="2232"/>
      <c r="G61" s="2232"/>
      <c r="H61" s="2232"/>
      <c r="I61" s="2232"/>
      <c r="J61" s="2232"/>
      <c r="K61" s="2232"/>
      <c r="L61" s="2232"/>
      <c r="M61" s="623"/>
      <c r="N61" s="527"/>
      <c r="O61" s="2980"/>
      <c r="P61" s="641"/>
      <c r="Q61" s="115"/>
    </row>
    <row r="62" spans="1:18" s="44" customFormat="1" ht="12.6" customHeight="1">
      <c r="A62" s="165"/>
      <c r="B62" s="543" t="s">
        <v>1271</v>
      </c>
      <c r="C62" s="57" t="s">
        <v>3918</v>
      </c>
      <c r="D62" s="42"/>
      <c r="H62" s="46"/>
      <c r="I62" s="50"/>
      <c r="J62" s="49"/>
      <c r="K62" s="49"/>
      <c r="M62" s="1809"/>
      <c r="N62" s="527"/>
      <c r="O62" s="2896"/>
      <c r="P62" s="629"/>
      <c r="Q62" s="115"/>
    </row>
    <row r="63" spans="1:18" s="44" customFormat="1" ht="12.6" customHeight="1">
      <c r="A63" s="165"/>
      <c r="B63" s="543" t="s">
        <v>1955</v>
      </c>
      <c r="C63" s="57" t="s">
        <v>3919</v>
      </c>
      <c r="D63" s="42"/>
      <c r="H63" s="46"/>
      <c r="I63" s="50"/>
      <c r="J63" s="49"/>
      <c r="K63" s="49"/>
      <c r="M63" s="1809"/>
      <c r="N63" s="527"/>
      <c r="O63" s="2896"/>
      <c r="P63" s="629"/>
      <c r="Q63" s="115"/>
    </row>
    <row r="64" spans="1:18" s="44" customFormat="1" ht="3" customHeight="1">
      <c r="A64" s="165"/>
      <c r="B64" s="111"/>
      <c r="D64" s="42"/>
      <c r="H64" s="46"/>
      <c r="I64" s="50"/>
      <c r="J64" s="49"/>
      <c r="K64" s="49"/>
      <c r="M64" s="1809"/>
      <c r="N64" s="527"/>
      <c r="O64" s="3"/>
      <c r="P64" s="3"/>
      <c r="Q64" s="115"/>
    </row>
    <row r="65" spans="1:18" s="44" customFormat="1" ht="12.6" customHeight="1">
      <c r="A65" s="595" t="s">
        <v>2904</v>
      </c>
      <c r="B65" s="111"/>
      <c r="D65" s="42"/>
      <c r="H65" s="180" t="s">
        <v>2913</v>
      </c>
      <c r="I65" s="596"/>
      <c r="J65" s="180" t="str">
        <f>'Part I-Project Information'!$H$90</f>
        <v>N/A - 4% Bond</v>
      </c>
      <c r="L65" s="28"/>
      <c r="M65" s="1809"/>
      <c r="N65" s="1809"/>
      <c r="O65" s="1809"/>
      <c r="P65" s="1809"/>
      <c r="Q65" s="115"/>
    </row>
    <row r="66" spans="1:18" s="462" customFormat="1" ht="23.25" customHeight="1">
      <c r="A66" s="154" t="s">
        <v>2058</v>
      </c>
      <c r="B66" s="2249" t="s">
        <v>3926</v>
      </c>
      <c r="C66" s="2249"/>
      <c r="D66" s="2249"/>
      <c r="E66" s="2249"/>
      <c r="F66" s="2249"/>
      <c r="G66" s="2249"/>
      <c r="H66" s="2249"/>
      <c r="I66" s="2250" t="s">
        <v>3761</v>
      </c>
      <c r="J66" s="2251"/>
      <c r="K66" s="2251"/>
      <c r="L66" s="2252"/>
      <c r="M66" s="591">
        <v>5</v>
      </c>
      <c r="N66" s="434" t="s">
        <v>2058</v>
      </c>
      <c r="O66" s="3024"/>
      <c r="P66" s="1824"/>
      <c r="Q66" s="592" t="str">
        <f>IF(OR($O66=$M66,$O66=0,$O66=""),"","* * Check Score! * *")</f>
        <v/>
      </c>
      <c r="R66" s="433" t="s">
        <v>2811</v>
      </c>
    </row>
    <row r="67" spans="1:18" s="462" customFormat="1" ht="12" customHeight="1">
      <c r="A67" s="154" t="s">
        <v>2061</v>
      </c>
      <c r="B67" s="865" t="s">
        <v>3757</v>
      </c>
      <c r="C67" s="865"/>
      <c r="D67" s="865"/>
      <c r="E67" s="865"/>
      <c r="F67" s="865"/>
      <c r="G67" s="865"/>
      <c r="H67" s="865"/>
      <c r="I67" s="3025" t="s">
        <v>3922</v>
      </c>
      <c r="J67" s="3026"/>
      <c r="K67" s="3026"/>
      <c r="L67" s="3027" t="s">
        <v>3923</v>
      </c>
      <c r="M67" s="591">
        <v>4</v>
      </c>
      <c r="N67" s="174" t="s">
        <v>2061</v>
      </c>
      <c r="O67" s="3028"/>
      <c r="P67" s="1147"/>
      <c r="Q67" s="592" t="str">
        <f>IF(OR($O67=$M67,$O67=0,$O67=""),"","* * Check Score! * *")</f>
        <v/>
      </c>
      <c r="R67" s="433" t="s">
        <v>2811</v>
      </c>
    </row>
    <row r="68" spans="1:18" s="462" customFormat="1" ht="12" customHeight="1">
      <c r="A68" s="149" t="s">
        <v>779</v>
      </c>
      <c r="B68" s="116" t="s">
        <v>3758</v>
      </c>
      <c r="C68" s="865"/>
      <c r="D68" s="865"/>
      <c r="E68" s="865"/>
      <c r="F68" s="865"/>
      <c r="G68" s="865"/>
      <c r="H68" s="865"/>
      <c r="I68" s="3029" t="s">
        <v>3924</v>
      </c>
      <c r="J68" s="3030"/>
      <c r="K68" s="3030"/>
      <c r="L68" s="3031"/>
      <c r="M68" s="591">
        <v>3</v>
      </c>
      <c r="N68" s="192" t="s">
        <v>779</v>
      </c>
      <c r="O68" s="3028"/>
      <c r="P68" s="1147"/>
      <c r="Q68" s="592" t="str">
        <f>IF(OR($O68=$M68,$O68=0,$O68=""),"","* * Check Score! * *")</f>
        <v/>
      </c>
      <c r="R68" s="433" t="s">
        <v>2811</v>
      </c>
    </row>
    <row r="69" spans="1:18" s="44" customFormat="1" ht="12.6" customHeight="1">
      <c r="A69" s="149" t="s">
        <v>2193</v>
      </c>
      <c r="B69" s="116" t="s">
        <v>3759</v>
      </c>
      <c r="E69" s="42"/>
      <c r="I69" s="3032"/>
      <c r="J69" s="3033"/>
      <c r="K69" s="3033"/>
      <c r="L69" s="3034"/>
      <c r="M69" s="77">
        <v>2</v>
      </c>
      <c r="N69" s="192" t="s">
        <v>2193</v>
      </c>
      <c r="O69" s="3035"/>
      <c r="P69" s="625"/>
      <c r="Q69" s="417" t="str">
        <f>IF(OR($O69=$M69,$O69=0,$O69=""),"","* * Check Score! * *")</f>
        <v/>
      </c>
      <c r="R69" s="433" t="s">
        <v>2811</v>
      </c>
    </row>
    <row r="70" spans="1:18" s="44" customFormat="1" ht="12.6" customHeight="1">
      <c r="A70" s="149" t="s">
        <v>1801</v>
      </c>
      <c r="B70" s="865" t="s">
        <v>3760</v>
      </c>
      <c r="E70" s="42"/>
      <c r="I70" s="3029" t="s">
        <v>3925</v>
      </c>
      <c r="J70" s="3030"/>
      <c r="K70" s="3030"/>
      <c r="L70" s="3031"/>
      <c r="M70" s="77">
        <v>1</v>
      </c>
      <c r="N70" s="192" t="s">
        <v>1801</v>
      </c>
      <c r="O70" s="3010"/>
      <c r="P70" s="626"/>
      <c r="Q70" s="417" t="str">
        <f>IF(OR($O70=$M70,$O70=0,$O70=""),"","* * Check Score! * *")</f>
        <v/>
      </c>
      <c r="R70" s="433" t="s">
        <v>2811</v>
      </c>
    </row>
    <row r="71" spans="1:18" s="44" customFormat="1" ht="12.6" customHeight="1">
      <c r="A71" s="595" t="s">
        <v>2906</v>
      </c>
      <c r="B71" s="180"/>
      <c r="E71" s="42"/>
      <c r="I71" s="3036"/>
      <c r="J71" s="3037"/>
      <c r="K71" s="3037"/>
      <c r="L71" s="3038"/>
      <c r="M71" s="77"/>
      <c r="N71" s="77"/>
      <c r="O71" s="77"/>
      <c r="P71" s="77"/>
      <c r="Q71" s="417"/>
      <c r="R71" s="417"/>
    </row>
    <row r="72" spans="1:18" s="108" customFormat="1" ht="12" customHeight="1">
      <c r="A72" s="149" t="s">
        <v>1802</v>
      </c>
      <c r="B72" s="180" t="s">
        <v>3927</v>
      </c>
      <c r="C72" s="180"/>
      <c r="D72" s="180"/>
      <c r="E72" s="180"/>
      <c r="F72" s="180"/>
      <c r="G72" s="180"/>
      <c r="H72" s="180"/>
      <c r="I72" s="180"/>
      <c r="J72" s="180"/>
      <c r="K72" s="180"/>
      <c r="L72" s="180"/>
      <c r="M72" s="77">
        <v>2</v>
      </c>
      <c r="N72" s="192" t="s">
        <v>1802</v>
      </c>
      <c r="O72" s="3023"/>
      <c r="P72" s="1145"/>
      <c r="Q72" s="417" t="str">
        <f>IF(OR($O72=$M72,$O72=0,$O72=""),"","* * Check Score! * *")</f>
        <v/>
      </c>
      <c r="R72" s="433" t="s">
        <v>2811</v>
      </c>
    </row>
    <row r="73" spans="1:18" s="44" customFormat="1" ht="12.6" customHeight="1">
      <c r="A73" s="37" t="s">
        <v>3745</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809"/>
    </row>
    <row r="75" spans="1:18" s="44" customFormat="1" ht="12.75" customHeight="1">
      <c r="A75" s="2900"/>
      <c r="B75" s="2901"/>
      <c r="C75" s="2901"/>
      <c r="D75" s="2901"/>
      <c r="E75" s="2901"/>
      <c r="F75" s="2901"/>
      <c r="G75" s="2901"/>
      <c r="H75" s="2901"/>
      <c r="I75" s="2901"/>
      <c r="J75" s="2901"/>
      <c r="K75" s="2901"/>
      <c r="L75" s="2901"/>
      <c r="M75" s="2901"/>
      <c r="N75" s="2901"/>
      <c r="O75" s="2901"/>
      <c r="P75" s="2902"/>
      <c r="Q75" s="502" t="s">
        <v>1301</v>
      </c>
    </row>
    <row r="76" spans="1:18" s="108" customFormat="1" ht="11.45" customHeight="1">
      <c r="A76" s="43"/>
      <c r="B76" s="103" t="s">
        <v>1937</v>
      </c>
      <c r="C76" s="43"/>
      <c r="D76" s="103"/>
      <c r="E76" s="1815"/>
      <c r="F76" s="1815"/>
      <c r="G76" s="1815"/>
      <c r="H76" s="1815"/>
      <c r="I76" s="1815"/>
      <c r="J76" s="1815"/>
      <c r="K76" s="1815"/>
      <c r="L76" s="1815"/>
      <c r="M76" s="1815"/>
      <c r="N76" s="99"/>
      <c r="O76" s="1163"/>
      <c r="P76" s="1809"/>
      <c r="Q76" s="478"/>
    </row>
    <row r="77" spans="1:18" s="44" customFormat="1" ht="12.75" customHeight="1">
      <c r="A77" s="2121"/>
      <c r="B77" s="2122"/>
      <c r="C77" s="2122"/>
      <c r="D77" s="2122"/>
      <c r="E77" s="2122"/>
      <c r="F77" s="2122"/>
      <c r="G77" s="2122"/>
      <c r="H77" s="2122"/>
      <c r="I77" s="2122"/>
      <c r="J77" s="2122"/>
      <c r="K77" s="2122"/>
      <c r="L77" s="2122"/>
      <c r="M77" s="2122"/>
      <c r="N77" s="2122"/>
      <c r="O77" s="2122"/>
      <c r="P77" s="2123"/>
      <c r="Q77" s="502"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809">
        <v>2</v>
      </c>
      <c r="N79" s="441" t="str">
        <f>IF(OR($O79=$M79,$O79=0,$O79=""),"","***")</f>
        <v/>
      </c>
      <c r="O79" s="3039"/>
      <c r="P79" s="1145"/>
      <c r="Q79" s="115" t="s">
        <v>456</v>
      </c>
      <c r="R79" s="433" t="s">
        <v>2811</v>
      </c>
    </row>
    <row r="80" spans="1:18" s="44" customFormat="1" ht="12.6" customHeight="1">
      <c r="A80" s="154" t="s">
        <v>2058</v>
      </c>
      <c r="B80" s="438" t="s">
        <v>2714</v>
      </c>
      <c r="D80" s="42"/>
      <c r="E80" s="37"/>
      <c r="K80" s="3040"/>
      <c r="L80" s="3041"/>
      <c r="M80" s="3042"/>
      <c r="P80" s="527"/>
      <c r="Q80" s="115"/>
    </row>
    <row r="81" spans="1:18" s="44" customFormat="1" ht="12.6" customHeight="1">
      <c r="A81" s="154" t="s">
        <v>2061</v>
      </c>
      <c r="B81" s="438" t="s">
        <v>3654</v>
      </c>
      <c r="D81" s="42"/>
      <c r="E81" s="37"/>
      <c r="K81" s="3040"/>
      <c r="L81" s="3041"/>
      <c r="M81" s="3042"/>
      <c r="O81" s="127" t="s">
        <v>2597</v>
      </c>
      <c r="P81" s="127" t="s">
        <v>2597</v>
      </c>
      <c r="Q81" s="115"/>
    </row>
    <row r="82" spans="1:18" s="44" customFormat="1" ht="12.6" customHeight="1">
      <c r="A82" s="149" t="s">
        <v>779</v>
      </c>
      <c r="B82" s="438" t="s">
        <v>3746</v>
      </c>
      <c r="D82" s="42"/>
      <c r="E82" s="37"/>
      <c r="N82" s="192" t="s">
        <v>779</v>
      </c>
      <c r="O82" s="2896"/>
      <c r="P82" s="629"/>
      <c r="Q82" s="115"/>
    </row>
    <row r="83" spans="1:18" s="108" customFormat="1" ht="11.45" customHeight="1">
      <c r="A83" s="43"/>
      <c r="B83" s="103" t="s">
        <v>1937</v>
      </c>
      <c r="C83" s="43"/>
      <c r="D83" s="103"/>
      <c r="E83" s="1815"/>
      <c r="F83" s="1815"/>
      <c r="G83" s="1815"/>
      <c r="H83" s="1815"/>
      <c r="I83" s="1815"/>
      <c r="J83" s="1815"/>
      <c r="K83" s="1815"/>
      <c r="L83" s="1815"/>
      <c r="M83" s="1815"/>
      <c r="N83" s="99"/>
      <c r="O83" s="1163"/>
      <c r="P83" s="1809"/>
      <c r="Q83" s="478"/>
    </row>
    <row r="84" spans="1:18" s="44" customFormat="1" ht="12.75" customHeight="1">
      <c r="A84" s="2121"/>
      <c r="B84" s="2122"/>
      <c r="C84" s="2122"/>
      <c r="D84" s="2122"/>
      <c r="E84" s="2122"/>
      <c r="F84" s="2122"/>
      <c r="G84" s="2122"/>
      <c r="H84" s="2122"/>
      <c r="I84" s="2122"/>
      <c r="J84" s="2122"/>
      <c r="K84" s="2122"/>
      <c r="L84" s="2122"/>
      <c r="M84" s="2122"/>
      <c r="N84" s="2122"/>
      <c r="O84" s="2122"/>
      <c r="P84" s="2123"/>
      <c r="Q84" s="502" t="s">
        <v>1301</v>
      </c>
    </row>
    <row r="85" spans="1:18" ht="3" customHeight="1">
      <c r="B85" s="125"/>
      <c r="C85" s="125"/>
      <c r="D85" s="125"/>
      <c r="E85" s="125"/>
      <c r="R85" s="44"/>
    </row>
    <row r="86" spans="1:18" s="44" customFormat="1" ht="12.6" customHeight="1">
      <c r="A86" s="165" t="s">
        <v>1955</v>
      </c>
      <c r="B86" s="112" t="s">
        <v>223</v>
      </c>
      <c r="D86" s="40"/>
      <c r="E86" s="37"/>
      <c r="M86" s="1809">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472" t="s">
        <v>4084</v>
      </c>
      <c r="J87" s="3043"/>
      <c r="K87" s="2473"/>
      <c r="M87" s="1809"/>
      <c r="N87" s="441"/>
      <c r="O87" s="484"/>
      <c r="P87" s="484"/>
      <c r="Q87" s="115"/>
    </row>
    <row r="88" spans="1:18" s="44" customFormat="1" ht="12.6" customHeight="1">
      <c r="A88" s="165"/>
      <c r="B88" s="92" t="s">
        <v>2913</v>
      </c>
      <c r="G88" s="42"/>
      <c r="H88" s="42"/>
      <c r="I88" s="824" t="str">
        <f>'Part I-Project Information'!$H$90</f>
        <v>N/A - 4% Bond</v>
      </c>
      <c r="K88" s="28"/>
      <c r="M88" s="1809"/>
      <c r="N88" s="441"/>
      <c r="O88" s="127" t="s">
        <v>2597</v>
      </c>
      <c r="P88" s="127" t="s">
        <v>2597</v>
      </c>
      <c r="Q88" s="115"/>
    </row>
    <row r="89" spans="1:18" s="44" customFormat="1" ht="6" customHeight="1">
      <c r="A89" s="165"/>
      <c r="B89" s="92"/>
      <c r="G89" s="42"/>
      <c r="H89" s="42"/>
      <c r="I89" s="824"/>
      <c r="K89" s="28"/>
      <c r="M89" s="1809"/>
      <c r="N89" s="441"/>
      <c r="O89" s="127"/>
      <c r="P89" s="127"/>
      <c r="Q89" s="115"/>
    </row>
    <row r="90" spans="1:18" s="44" customFormat="1" ht="12.6" customHeight="1">
      <c r="B90" s="2242" t="s">
        <v>4082</v>
      </c>
      <c r="C90" s="2243"/>
      <c r="D90" s="2243"/>
      <c r="E90" s="2243"/>
      <c r="F90" s="2244"/>
      <c r="G90" s="482" t="s">
        <v>4083</v>
      </c>
      <c r="H90" s="3044"/>
      <c r="I90" s="3045" t="s">
        <v>4184</v>
      </c>
      <c r="J90" s="3046"/>
      <c r="K90" s="3045" t="s">
        <v>4183</v>
      </c>
      <c r="L90" s="3047"/>
      <c r="M90" s="3046"/>
      <c r="N90" s="192"/>
      <c r="O90" s="2978"/>
      <c r="P90" s="630"/>
      <c r="Q90" s="115"/>
    </row>
    <row r="91" spans="1:18" ht="11.45" customHeight="1">
      <c r="B91" s="2245"/>
      <c r="C91" s="2246"/>
      <c r="D91" s="2246"/>
      <c r="E91" s="2246"/>
      <c r="F91" s="2247"/>
      <c r="G91" s="482" t="s">
        <v>4083</v>
      </c>
      <c r="H91" s="3048"/>
      <c r="I91" s="3049" t="s">
        <v>4184</v>
      </c>
      <c r="J91" s="3050"/>
      <c r="K91" s="3049" t="s">
        <v>4183</v>
      </c>
      <c r="L91" s="3051"/>
      <c r="M91" s="3050"/>
      <c r="N91" s="28"/>
      <c r="O91" s="28"/>
      <c r="P91" s="28"/>
    </row>
    <row r="92" spans="1:18" s="44" customFormat="1" ht="12.6" customHeight="1">
      <c r="A92" s="165"/>
      <c r="B92" s="485" t="s">
        <v>4179</v>
      </c>
      <c r="G92" s="42"/>
      <c r="H92" s="42"/>
      <c r="I92" s="824"/>
      <c r="K92" s="28"/>
      <c r="M92" s="1809"/>
      <c r="N92" s="441"/>
      <c r="O92" s="2896"/>
      <c r="P92" s="629"/>
      <c r="Q92" s="115"/>
    </row>
    <row r="93" spans="1:18" s="44" customFormat="1" ht="12.6" customHeight="1">
      <c r="A93" s="165"/>
      <c r="B93" s="92" t="s">
        <v>4187</v>
      </c>
      <c r="G93" s="42"/>
      <c r="H93" s="42"/>
      <c r="I93" s="314" t="s">
        <v>4188</v>
      </c>
      <c r="J93" s="3052"/>
      <c r="K93" s="314" t="s">
        <v>4186</v>
      </c>
      <c r="L93" s="3052"/>
      <c r="M93" s="1809"/>
      <c r="N93" s="441"/>
      <c r="O93" s="2896"/>
      <c r="P93" s="629"/>
      <c r="Q93" s="115"/>
    </row>
    <row r="94" spans="1:18" s="44" customFormat="1" ht="6" customHeight="1">
      <c r="A94" s="165"/>
      <c r="B94" s="92"/>
      <c r="G94" s="42"/>
      <c r="H94" s="42"/>
      <c r="I94" s="824"/>
      <c r="K94" s="28"/>
      <c r="M94" s="1809"/>
      <c r="N94" s="1809"/>
      <c r="O94" s="1809"/>
      <c r="P94" s="1809"/>
      <c r="Q94" s="115"/>
    </row>
    <row r="95" spans="1:18" ht="11.45" customHeight="1">
      <c r="A95" s="149" t="s">
        <v>2058</v>
      </c>
      <c r="B95" s="195" t="s">
        <v>2408</v>
      </c>
      <c r="D95" s="34"/>
      <c r="M95" s="122">
        <v>3</v>
      </c>
      <c r="N95" s="192" t="s">
        <v>2058</v>
      </c>
      <c r="O95" s="127" t="s">
        <v>2597</v>
      </c>
      <c r="P95" s="127" t="s">
        <v>2597</v>
      </c>
    </row>
    <row r="96" spans="1:18" s="44" customFormat="1" ht="12.6" customHeight="1">
      <c r="B96" s="482" t="s">
        <v>4177</v>
      </c>
      <c r="D96" s="42"/>
      <c r="M96" s="1809"/>
      <c r="O96" s="2896"/>
      <c r="P96" s="629"/>
      <c r="Q96" s="115"/>
    </row>
    <row r="97" spans="1:17" ht="11.45" customHeight="1">
      <c r="B97" s="415" t="s">
        <v>2062</v>
      </c>
      <c r="C97" s="426" t="s">
        <v>2715</v>
      </c>
      <c r="E97" s="125"/>
      <c r="N97" s="28"/>
      <c r="O97" s="28"/>
      <c r="P97" s="28"/>
    </row>
    <row r="98" spans="1:17" ht="11.25" customHeight="1">
      <c r="A98" s="461"/>
      <c r="B98" s="432"/>
      <c r="C98" s="1351" t="s">
        <v>4178</v>
      </c>
      <c r="D98" s="1350"/>
      <c r="E98" s="1350"/>
      <c r="F98" s="1350"/>
      <c r="G98" s="1350"/>
      <c r="H98" s="1350"/>
      <c r="I98" s="1350"/>
      <c r="J98" s="1350"/>
      <c r="K98" s="1350"/>
      <c r="L98" s="3052"/>
      <c r="M98" s="429"/>
      <c r="N98" s="28"/>
      <c r="O98" s="28"/>
      <c r="P98" s="28"/>
    </row>
    <row r="99" spans="1:17" ht="11.45" customHeight="1">
      <c r="B99" s="415" t="s">
        <v>2064</v>
      </c>
      <c r="C99" s="426" t="s">
        <v>3928</v>
      </c>
      <c r="E99" s="125"/>
      <c r="M99" s="430"/>
      <c r="N99" s="28"/>
      <c r="O99" s="28"/>
      <c r="P99" s="28"/>
    </row>
    <row r="100" spans="1:17" ht="11.25" customHeight="1">
      <c r="A100" s="461"/>
      <c r="B100" s="431" t="s">
        <v>2520</v>
      </c>
      <c r="C100" s="1351" t="s">
        <v>4185</v>
      </c>
      <c r="D100" s="1350"/>
      <c r="E100" s="1350"/>
      <c r="F100" s="1350"/>
      <c r="G100" s="1350"/>
      <c r="H100" s="1350"/>
      <c r="K100" s="1350"/>
      <c r="L100" s="3053"/>
      <c r="M100" s="429"/>
      <c r="N100" s="28"/>
      <c r="O100" s="28"/>
      <c r="P100" s="28"/>
    </row>
    <row r="101" spans="1:17" ht="11.25" customHeight="1">
      <c r="A101" s="461"/>
      <c r="B101" s="416" t="s">
        <v>2521</v>
      </c>
      <c r="C101" s="1351" t="s">
        <v>4180</v>
      </c>
      <c r="D101" s="1350"/>
      <c r="E101" s="1350"/>
      <c r="F101" s="1350"/>
      <c r="G101" s="1350"/>
      <c r="H101" s="1350"/>
      <c r="I101" s="3054" t="s">
        <v>4181</v>
      </c>
      <c r="J101" s="3055"/>
      <c r="K101" s="3054" t="s">
        <v>4182</v>
      </c>
      <c r="L101" s="3056"/>
      <c r="M101" s="3055"/>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6" t="s">
        <v>2062</v>
      </c>
      <c r="C103" s="542" t="s">
        <v>2841</v>
      </c>
      <c r="D103" s="42"/>
      <c r="M103" s="1809"/>
      <c r="N103" s="543" t="s">
        <v>2062</v>
      </c>
      <c r="O103" s="2935"/>
      <c r="P103" s="632"/>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6" t="s">
        <v>2064</v>
      </c>
      <c r="C104" s="542" t="s">
        <v>2838</v>
      </c>
      <c r="D104" s="42"/>
      <c r="M104" s="1809"/>
      <c r="N104" s="543" t="s">
        <v>2064</v>
      </c>
      <c r="O104" s="2938"/>
      <c r="P104" s="633"/>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6" t="s">
        <v>2622</v>
      </c>
      <c r="C105" s="542" t="s">
        <v>2839</v>
      </c>
      <c r="D105" s="42"/>
      <c r="M105" s="1809"/>
      <c r="N105" s="543" t="s">
        <v>2622</v>
      </c>
      <c r="O105" s="2938"/>
      <c r="P105" s="633"/>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6" t="s">
        <v>1270</v>
      </c>
      <c r="C106" s="542" t="s">
        <v>2840</v>
      </c>
      <c r="D106" s="42"/>
      <c r="M106" s="1809"/>
      <c r="N106" s="543" t="s">
        <v>1270</v>
      </c>
      <c r="O106" s="2936"/>
      <c r="P106" s="634"/>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809"/>
    </row>
    <row r="109" spans="1:17" s="44" customFormat="1" ht="12.75" customHeight="1">
      <c r="A109" s="3057"/>
      <c r="B109" s="3058"/>
      <c r="C109" s="3058"/>
      <c r="D109" s="3058"/>
      <c r="E109" s="3058"/>
      <c r="F109" s="3058"/>
      <c r="G109" s="3058"/>
      <c r="H109" s="3058"/>
      <c r="I109" s="3058"/>
      <c r="J109" s="3058"/>
      <c r="K109" s="3058"/>
      <c r="L109" s="3058"/>
      <c r="M109" s="3058"/>
      <c r="N109" s="3058"/>
      <c r="O109" s="3058"/>
      <c r="P109" s="3059"/>
      <c r="Q109" s="502" t="s">
        <v>1301</v>
      </c>
    </row>
    <row r="110" spans="1:17" s="44" customFormat="1" ht="11.25" customHeight="1">
      <c r="B110" s="103" t="s">
        <v>1937</v>
      </c>
      <c r="C110" s="43"/>
      <c r="D110" s="91"/>
      <c r="E110" s="1814"/>
      <c r="F110" s="1814"/>
      <c r="G110" s="1814"/>
      <c r="H110" s="1814"/>
      <c r="I110" s="1814"/>
      <c r="J110" s="1814"/>
      <c r="K110" s="1814"/>
      <c r="L110" s="1814"/>
      <c r="M110" s="1814"/>
      <c r="N110" s="79"/>
      <c r="O110" s="75"/>
      <c r="P110" s="1809"/>
      <c r="Q110" s="478"/>
    </row>
    <row r="111" spans="1:17" s="44" customFormat="1" ht="12.75" customHeight="1">
      <c r="A111" s="2204"/>
      <c r="B111" s="2205"/>
      <c r="C111" s="2205"/>
      <c r="D111" s="2205"/>
      <c r="E111" s="2205"/>
      <c r="F111" s="2205"/>
      <c r="G111" s="2205"/>
      <c r="H111" s="2205"/>
      <c r="I111" s="2205"/>
      <c r="J111" s="2205"/>
      <c r="K111" s="2205"/>
      <c r="L111" s="2205"/>
      <c r="M111" s="2205"/>
      <c r="N111" s="2205"/>
      <c r="O111" s="2205"/>
      <c r="P111" s="2206"/>
      <c r="Q111" s="502" t="s">
        <v>1301</v>
      </c>
    </row>
    <row r="112" spans="1:17" s="44" customFormat="1" ht="3" customHeight="1">
      <c r="A112" s="43"/>
      <c r="D112" s="40"/>
      <c r="E112" s="37"/>
      <c r="F112" s="1190"/>
      <c r="G112" s="1190"/>
      <c r="H112" s="1190"/>
      <c r="I112" s="1190"/>
      <c r="J112" s="1220"/>
      <c r="K112" s="1220"/>
      <c r="L112" s="1220"/>
      <c r="M112" s="63"/>
      <c r="N112" s="1190"/>
      <c r="O112" s="1813"/>
      <c r="P112" s="3"/>
    </row>
    <row r="113" spans="1:18" s="108" customFormat="1" ht="12.6" customHeight="1">
      <c r="A113" s="165" t="s">
        <v>521</v>
      </c>
      <c r="B113" s="112" t="s">
        <v>2905</v>
      </c>
      <c r="C113" s="98"/>
      <c r="D113" s="62"/>
      <c r="E113" s="62"/>
      <c r="H113" s="188" t="s">
        <v>3929</v>
      </c>
      <c r="M113" s="1809">
        <v>8</v>
      </c>
      <c r="N113" s="7"/>
      <c r="O113" s="1196">
        <f>O115+O122+O125</f>
        <v>0</v>
      </c>
      <c r="P113" s="1196">
        <f>P115+P122+P125</f>
        <v>0</v>
      </c>
      <c r="Q113" s="115" t="s">
        <v>456</v>
      </c>
      <c r="R113" s="44"/>
    </row>
    <row r="114" spans="1:18" s="108" customFormat="1" ht="4.5" customHeight="1">
      <c r="A114" s="165"/>
      <c r="B114" s="112"/>
      <c r="C114" s="98"/>
      <c r="D114" s="62"/>
      <c r="E114" s="62"/>
      <c r="H114" s="188"/>
      <c r="M114" s="773"/>
      <c r="Q114" s="115"/>
      <c r="R114" s="44"/>
    </row>
    <row r="115" spans="1:18" s="108" customFormat="1" ht="12.6" customHeight="1">
      <c r="A115" s="2293" t="s">
        <v>3932</v>
      </c>
      <c r="B115" s="1159" t="s">
        <v>3930</v>
      </c>
      <c r="C115" s="98"/>
      <c r="D115" s="62"/>
      <c r="E115" s="62"/>
      <c r="H115" s="188"/>
      <c r="M115" s="130">
        <v>3</v>
      </c>
      <c r="O115" s="1196">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8"/>
      <c r="Q115" s="115"/>
      <c r="R115" s="44"/>
    </row>
    <row r="116" spans="1:18" ht="11.45" customHeight="1">
      <c r="A116" s="2293"/>
      <c r="B116" s="116" t="s">
        <v>2913</v>
      </c>
      <c r="C116" s="593"/>
      <c r="D116" s="593"/>
      <c r="E116" s="594" t="str">
        <f>'Part I-Project Information'!$H$90</f>
        <v>N/A - 4% Bond</v>
      </c>
      <c r="N116" s="28"/>
      <c r="O116" s="127" t="s">
        <v>2597</v>
      </c>
      <c r="P116" s="127" t="s">
        <v>2597</v>
      </c>
    </row>
    <row r="117" spans="1:18" ht="11.45" customHeight="1">
      <c r="A117" s="2293"/>
      <c r="B117" s="415" t="s">
        <v>2062</v>
      </c>
      <c r="C117" s="494" t="s">
        <v>2785</v>
      </c>
      <c r="E117" s="125"/>
      <c r="M117" s="85"/>
      <c r="N117" s="28"/>
      <c r="O117" s="2978"/>
      <c r="P117" s="630"/>
      <c r="Q117" s="2238" t="str">
        <f>IF(AND(O117="Yes",O120="Yes"),"Only 1 or 4 can be 'Yes'!","")</f>
        <v/>
      </c>
      <c r="R117" s="2238"/>
    </row>
    <row r="118" spans="1:18" ht="11.45" customHeight="1">
      <c r="B118" s="415" t="s">
        <v>2064</v>
      </c>
      <c r="C118" s="494" t="s">
        <v>2854</v>
      </c>
      <c r="D118" s="3060"/>
      <c r="E118" s="494" t="s">
        <v>2855</v>
      </c>
      <c r="G118" s="106" t="s">
        <v>2474</v>
      </c>
      <c r="K118" s="145" t="s">
        <v>2853</v>
      </c>
      <c r="L118" s="3061"/>
      <c r="M118" s="1194" t="str">
        <f>IF(L118&gt;D118,"CHECK ACTUAL PERCENT!!!","")</f>
        <v/>
      </c>
      <c r="N118" s="481"/>
      <c r="Q118" s="2238"/>
      <c r="R118" s="2238"/>
    </row>
    <row r="119" spans="1:18" ht="11.45" customHeight="1">
      <c r="B119" s="415" t="s">
        <v>2622</v>
      </c>
      <c r="C119" s="467" t="s">
        <v>2475</v>
      </c>
      <c r="E119" s="125"/>
      <c r="G119" s="106" t="s">
        <v>2476</v>
      </c>
      <c r="K119" s="539" t="s">
        <v>2845</v>
      </c>
      <c r="L119" s="3062"/>
      <c r="Q119" s="2238"/>
      <c r="R119" s="2238"/>
    </row>
    <row r="120" spans="1:18" ht="11.45" customHeight="1">
      <c r="B120" s="415" t="s">
        <v>1270</v>
      </c>
      <c r="C120" s="2304" t="s">
        <v>3936</v>
      </c>
      <c r="D120" s="2304"/>
      <c r="E120" s="2304"/>
      <c r="F120" s="2304"/>
      <c r="G120" s="2304"/>
      <c r="H120" s="2304"/>
      <c r="I120" s="2304"/>
      <c r="J120" s="2304"/>
      <c r="K120" s="2304"/>
      <c r="L120" s="2304"/>
      <c r="M120" s="2304"/>
      <c r="N120" s="28"/>
      <c r="O120" s="2978"/>
      <c r="P120" s="630"/>
      <c r="Q120" s="2238"/>
      <c r="R120" s="2238"/>
    </row>
    <row r="121" spans="1:18" ht="11.45" customHeight="1">
      <c r="B121" s="415"/>
      <c r="C121" s="2304"/>
      <c r="D121" s="2304"/>
      <c r="E121" s="2304"/>
      <c r="F121" s="2304"/>
      <c r="G121" s="2304"/>
      <c r="H121" s="2304"/>
      <c r="I121" s="2304"/>
      <c r="J121" s="2304"/>
      <c r="K121" s="2304"/>
      <c r="L121" s="2304"/>
      <c r="M121" s="2304"/>
    </row>
    <row r="122" spans="1:18" ht="11.45" customHeight="1">
      <c r="A122" s="596" t="s">
        <v>779</v>
      </c>
      <c r="B122" s="1192" t="s">
        <v>3931</v>
      </c>
      <c r="C122" s="467"/>
      <c r="E122" s="125"/>
      <c r="G122" s="106"/>
      <c r="K122" s="1836" t="s">
        <v>3911</v>
      </c>
      <c r="L122" s="1836" t="s">
        <v>3912</v>
      </c>
      <c r="M122" s="130">
        <v>3</v>
      </c>
      <c r="O122" s="1196">
        <f>IF(OR(K123="A2",K123="A3",K123="B1"),3,IF(OR(K123="A1",K123="B2",K123="C1"),2,IF(OR(K123="B3",K123="C2"),1,0)))</f>
        <v>0</v>
      </c>
      <c r="P122" s="81">
        <f>IF(OR(L123="A2",L123="A3",L123="B1"),3,IF(OR(L123="A1",L123="B2",L123="C1"),2,IF(OR(L123="B3",L123="C2"),1,0)))</f>
        <v>0</v>
      </c>
    </row>
    <row r="123" spans="1:18" ht="11.45" customHeight="1">
      <c r="A123" s="596"/>
      <c r="B123" s="2296" t="s">
        <v>3935</v>
      </c>
      <c r="C123" s="2296"/>
      <c r="D123" s="2296"/>
      <c r="E123" s="2296"/>
      <c r="F123" s="2296"/>
      <c r="G123" s="2296"/>
      <c r="H123" s="2296"/>
      <c r="I123" s="2296"/>
      <c r="J123" s="2296"/>
      <c r="K123" s="3063" t="s">
        <v>207</v>
      </c>
      <c r="L123" s="630" t="s">
        <v>207</v>
      </c>
      <c r="O123" s="1190"/>
      <c r="P123" s="1190"/>
    </row>
    <row r="124" spans="1:18" ht="11.45" customHeight="1">
      <c r="A124" s="596"/>
      <c r="B124" s="2296"/>
      <c r="C124" s="2296"/>
      <c r="D124" s="2296"/>
      <c r="E124" s="2296"/>
      <c r="F124" s="2296"/>
      <c r="G124" s="2296"/>
      <c r="H124" s="2296"/>
      <c r="I124" s="2296"/>
      <c r="J124" s="2296"/>
      <c r="O124" s="1190"/>
      <c r="P124" s="1190"/>
    </row>
    <row r="125" spans="1:18" ht="11.45" customHeight="1">
      <c r="A125" s="596" t="s">
        <v>2193</v>
      </c>
      <c r="B125" s="1192" t="s">
        <v>3933</v>
      </c>
      <c r="C125" s="467"/>
      <c r="E125" s="125"/>
      <c r="G125" s="539" t="s">
        <v>3934</v>
      </c>
      <c r="H125" s="1193">
        <f>'Part VI-Revenues &amp; Expenses'!$O$59</f>
        <v>0</v>
      </c>
      <c r="I125" s="1836" t="s">
        <v>3949</v>
      </c>
      <c r="J125" s="1193">
        <f>'Part VI-Revenues &amp; Expenses'!$O$62</f>
        <v>208</v>
      </c>
      <c r="K125" s="1836" t="s">
        <v>3950</v>
      </c>
      <c r="L125" s="1195">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814"/>
      <c r="F126" s="1814"/>
      <c r="G126" s="1814"/>
      <c r="H126" s="1814"/>
      <c r="I126" s="1814"/>
      <c r="J126" s="1814"/>
      <c r="K126" s="1814"/>
      <c r="L126" s="1814"/>
      <c r="M126" s="1814"/>
      <c r="N126" s="79"/>
      <c r="O126" s="75"/>
      <c r="P126" s="1809"/>
      <c r="Q126" s="478"/>
    </row>
    <row r="127" spans="1:18" s="44" customFormat="1" ht="12.75" customHeight="1">
      <c r="A127" s="2204"/>
      <c r="B127" s="2205"/>
      <c r="C127" s="2205"/>
      <c r="D127" s="2205"/>
      <c r="E127" s="2205"/>
      <c r="F127" s="2205"/>
      <c r="G127" s="2205"/>
      <c r="H127" s="2205"/>
      <c r="I127" s="2205"/>
      <c r="J127" s="2205"/>
      <c r="K127" s="2205"/>
      <c r="L127" s="2205"/>
      <c r="M127" s="2205"/>
      <c r="N127" s="2205"/>
      <c r="O127" s="2205"/>
      <c r="P127" s="2206"/>
      <c r="Q127" s="502" t="s">
        <v>1301</v>
      </c>
    </row>
    <row r="128" spans="1:18" s="44" customFormat="1" ht="3" customHeight="1">
      <c r="A128" s="43"/>
      <c r="D128" s="40"/>
      <c r="E128" s="37"/>
      <c r="F128" s="1190"/>
      <c r="G128" s="1190"/>
      <c r="H128" s="1190"/>
      <c r="I128" s="1190"/>
      <c r="J128" s="1220"/>
      <c r="K128" s="1220"/>
      <c r="L128" s="1220"/>
      <c r="M128" s="63"/>
      <c r="N128" s="1190"/>
      <c r="O128" s="1813"/>
      <c r="P128" s="3"/>
    </row>
    <row r="129" spans="1:18" s="108" customFormat="1" ht="12.6" customHeight="1">
      <c r="A129" s="165" t="s">
        <v>522</v>
      </c>
      <c r="B129" s="112" t="s">
        <v>3570</v>
      </c>
      <c r="C129" s="98"/>
      <c r="D129" s="62"/>
      <c r="E129" s="62"/>
      <c r="H129" s="769"/>
      <c r="J129" s="3064" t="s">
        <v>2947</v>
      </c>
      <c r="K129" s="3065"/>
      <c r="L129" s="3066"/>
      <c r="M129" s="1809">
        <v>10</v>
      </c>
      <c r="N129" s="7"/>
      <c r="O129" s="1275">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8"/>
      <c r="Q129" s="115" t="s">
        <v>456</v>
      </c>
      <c r="R129" s="44"/>
    </row>
    <row r="130" spans="1:18" ht="6" customHeight="1">
      <c r="A130" s="589"/>
      <c r="B130" s="539"/>
      <c r="D130" s="768"/>
      <c r="E130" s="539"/>
      <c r="G130" s="779"/>
      <c r="H130" s="780"/>
      <c r="I130" s="487"/>
      <c r="K130" s="1143"/>
      <c r="N130" s="28"/>
      <c r="O130" s="28"/>
      <c r="P130" s="28"/>
    </row>
    <row r="131" spans="1:18" ht="11.45" customHeight="1">
      <c r="B131" s="1827" t="s">
        <v>4085</v>
      </c>
      <c r="E131" s="34"/>
      <c r="G131" s="3067"/>
      <c r="H131" s="3068"/>
      <c r="I131" s="3068"/>
      <c r="J131" s="3068"/>
      <c r="K131" s="3068"/>
      <c r="L131" s="3068"/>
      <c r="M131" s="3068"/>
      <c r="N131" s="3068"/>
      <c r="O131" s="3068"/>
      <c r="P131" s="3069"/>
    </row>
    <row r="132" spans="1:18" ht="6" customHeight="1">
      <c r="A132" s="589"/>
      <c r="B132" s="539"/>
      <c r="D132" s="768"/>
      <c r="E132" s="539"/>
      <c r="G132" s="779"/>
      <c r="H132" s="780"/>
      <c r="N132" s="28"/>
      <c r="O132" s="28"/>
      <c r="P132" s="28"/>
    </row>
    <row r="133" spans="1:18" s="44" customFormat="1" ht="12" customHeight="1">
      <c r="A133" s="149"/>
      <c r="B133" s="57" t="s">
        <v>3056</v>
      </c>
      <c r="D133" s="34"/>
      <c r="N133" s="527"/>
      <c r="O133" s="2978"/>
      <c r="P133" s="630"/>
      <c r="R133" s="417"/>
    </row>
    <row r="134" spans="1:18" ht="4.5" customHeight="1">
      <c r="A134" s="589"/>
      <c r="B134" s="539"/>
      <c r="D134" s="768"/>
      <c r="E134" s="539"/>
      <c r="G134" s="779"/>
      <c r="H134" s="780"/>
      <c r="I134" s="487"/>
      <c r="K134" s="1143"/>
      <c r="N134" s="28"/>
      <c r="O134" s="28"/>
      <c r="P134" s="28"/>
    </row>
    <row r="135" spans="1:18" s="44" customFormat="1" ht="11.45" customHeight="1">
      <c r="A135" s="483"/>
      <c r="B135" s="121" t="s">
        <v>2972</v>
      </c>
      <c r="E135" s="41"/>
      <c r="O135" s="127" t="s">
        <v>2597</v>
      </c>
      <c r="P135" s="127" t="s">
        <v>2597</v>
      </c>
    </row>
    <row r="136" spans="1:18" s="44" customFormat="1" ht="11.45" customHeight="1">
      <c r="A136" s="414"/>
      <c r="B136" s="431" t="s">
        <v>2520</v>
      </c>
      <c r="C136" s="57" t="s">
        <v>3711</v>
      </c>
      <c r="D136" s="108"/>
      <c r="E136" s="41"/>
      <c r="G136" s="57" t="s">
        <v>3712</v>
      </c>
      <c r="L136" s="3070"/>
      <c r="M136" s="3070"/>
      <c r="N136" s="431" t="s">
        <v>2520</v>
      </c>
      <c r="O136" s="2935"/>
      <c r="P136" s="632"/>
    </row>
    <row r="137" spans="1:18" s="44" customFormat="1" ht="11.45" customHeight="1">
      <c r="A137" s="414"/>
      <c r="B137" s="416" t="s">
        <v>2521</v>
      </c>
      <c r="C137" s="2199" t="s">
        <v>3937</v>
      </c>
      <c r="D137" s="2199"/>
      <c r="E137" s="2199"/>
      <c r="F137" s="2199"/>
      <c r="G137" s="57" t="s">
        <v>3576</v>
      </c>
      <c r="L137" s="3071"/>
      <c r="M137" s="3071"/>
      <c r="N137" s="416" t="s">
        <v>2521</v>
      </c>
      <c r="O137" s="2936"/>
      <c r="P137" s="634"/>
    </row>
    <row r="138" spans="1:18" s="44" customFormat="1" ht="11.45" customHeight="1">
      <c r="A138" s="414"/>
      <c r="B138" s="416"/>
      <c r="C138" s="2199"/>
      <c r="D138" s="2199"/>
      <c r="E138" s="2199"/>
      <c r="F138" s="2199"/>
      <c r="G138" s="57" t="s">
        <v>3054</v>
      </c>
      <c r="L138" s="3019"/>
      <c r="M138" s="3021"/>
    </row>
    <row r="139" spans="1:18" s="44" customFormat="1" ht="11.45" customHeight="1">
      <c r="A139" s="414"/>
      <c r="B139" s="416"/>
      <c r="C139" s="2199"/>
      <c r="D139" s="2199"/>
      <c r="E139" s="2199"/>
      <c r="F139" s="2199"/>
      <c r="G139" s="57" t="s">
        <v>2949</v>
      </c>
      <c r="J139" s="3011" t="s">
        <v>2951</v>
      </c>
      <c r="K139" s="3013"/>
      <c r="L139" s="3072" t="s">
        <v>2951</v>
      </c>
      <c r="M139" s="3073"/>
    </row>
    <row r="140" spans="1:18" s="44" customFormat="1" ht="11.45" customHeight="1">
      <c r="A140" s="414"/>
      <c r="B140" s="416"/>
      <c r="C140" s="539"/>
      <c r="D140" s="108"/>
      <c r="E140" s="41"/>
      <c r="G140" s="57" t="s">
        <v>2950</v>
      </c>
      <c r="J140" s="3074"/>
      <c r="K140" s="3075"/>
      <c r="L140" s="3074"/>
      <c r="M140" s="3075"/>
    </row>
    <row r="141" spans="1:18" s="44" customFormat="1" ht="11.45" customHeight="1">
      <c r="A141" s="414"/>
      <c r="B141" s="416"/>
      <c r="C141" s="539"/>
      <c r="D141" s="108"/>
      <c r="E141" s="41"/>
      <c r="G141" s="2232" t="s">
        <v>4089</v>
      </c>
      <c r="H141" s="2232"/>
      <c r="I141" s="57" t="s">
        <v>1778</v>
      </c>
      <c r="J141" s="3011" t="s">
        <v>4087</v>
      </c>
      <c r="K141" s="3013"/>
      <c r="L141" s="3011" t="s">
        <v>4087</v>
      </c>
      <c r="M141" s="3013"/>
    </row>
    <row r="142" spans="1:18" s="44" customFormat="1" ht="11.45" customHeight="1">
      <c r="A142" s="414"/>
      <c r="B142" s="416"/>
      <c r="C142" s="539"/>
      <c r="D142" s="108"/>
      <c r="E142" s="41"/>
      <c r="G142" s="2232"/>
      <c r="H142" s="2232"/>
      <c r="I142" s="57" t="s">
        <v>4088</v>
      </c>
      <c r="J142" s="3019"/>
      <c r="K142" s="3021"/>
      <c r="L142" s="3019"/>
      <c r="M142" s="3021"/>
    </row>
    <row r="143" spans="1:18" ht="11.25" customHeight="1">
      <c r="B143" s="416" t="s">
        <v>2522</v>
      </c>
      <c r="C143" s="2199" t="s">
        <v>3938</v>
      </c>
      <c r="D143" s="2199"/>
      <c r="E143" s="2199"/>
      <c r="F143" s="2199"/>
      <c r="G143" s="485" t="s">
        <v>3055</v>
      </c>
      <c r="L143" s="3076"/>
      <c r="M143" s="3077"/>
      <c r="N143" s="416" t="s">
        <v>2522</v>
      </c>
      <c r="O143" s="2978"/>
      <c r="P143" s="630"/>
    </row>
    <row r="144" spans="1:18" ht="11.25" customHeight="1">
      <c r="B144" s="416"/>
      <c r="C144" s="2199"/>
      <c r="D144" s="2199"/>
      <c r="E144" s="2199"/>
      <c r="F144" s="2199"/>
      <c r="G144" s="57" t="s">
        <v>3722</v>
      </c>
      <c r="L144" s="3074"/>
      <c r="M144" s="3075"/>
      <c r="N144" s="28"/>
      <c r="O144" s="28"/>
      <c r="P144" s="28"/>
    </row>
    <row r="145" spans="1:25" ht="11.25" customHeight="1">
      <c r="B145" s="416" t="s">
        <v>2523</v>
      </c>
      <c r="C145" s="571" t="s">
        <v>3939</v>
      </c>
      <c r="D145" s="106"/>
      <c r="G145" s="314"/>
      <c r="K145" s="41"/>
      <c r="L145" s="3078" t="s">
        <v>3941</v>
      </c>
      <c r="M145" s="3079"/>
      <c r="N145" s="416" t="s">
        <v>2523</v>
      </c>
      <c r="O145" s="2935"/>
      <c r="P145" s="632"/>
    </row>
    <row r="146" spans="1:25" ht="11.25" customHeight="1">
      <c r="B146" s="416" t="s">
        <v>2524</v>
      </c>
      <c r="C146" s="571" t="s">
        <v>2952</v>
      </c>
      <c r="K146" s="41"/>
      <c r="L146" s="3080" t="s">
        <v>3941</v>
      </c>
      <c r="M146" s="3081"/>
      <c r="N146" s="416" t="s">
        <v>2524</v>
      </c>
      <c r="O146" s="2938"/>
      <c r="P146" s="633"/>
    </row>
    <row r="147" spans="1:25" ht="11.25" customHeight="1">
      <c r="B147" s="431" t="s">
        <v>3579</v>
      </c>
      <c r="C147" s="54" t="s">
        <v>3573</v>
      </c>
      <c r="K147" s="41"/>
      <c r="L147" s="3080" t="s">
        <v>3941</v>
      </c>
      <c r="M147" s="3081"/>
      <c r="N147" s="431" t="s">
        <v>3579</v>
      </c>
      <c r="O147" s="2938"/>
      <c r="P147" s="633"/>
    </row>
    <row r="148" spans="1:25" ht="11.25" customHeight="1">
      <c r="B148" s="431" t="s">
        <v>3580</v>
      </c>
      <c r="C148" s="54" t="s">
        <v>3571</v>
      </c>
      <c r="K148" s="41"/>
      <c r="L148" s="3080" t="s">
        <v>3941</v>
      </c>
      <c r="M148" s="3081"/>
      <c r="N148" s="431" t="s">
        <v>3580</v>
      </c>
      <c r="O148" s="2938"/>
      <c r="P148" s="633"/>
    </row>
    <row r="149" spans="1:25" ht="11.25" customHeight="1">
      <c r="B149" s="416" t="s">
        <v>2541</v>
      </c>
      <c r="C149" s="571" t="s">
        <v>2953</v>
      </c>
      <c r="K149" s="41"/>
      <c r="L149" s="3080" t="s">
        <v>3941</v>
      </c>
      <c r="M149" s="3081"/>
      <c r="N149" s="416" t="s">
        <v>2541</v>
      </c>
      <c r="O149" s="2938"/>
      <c r="P149" s="633"/>
    </row>
    <row r="150" spans="1:25" ht="11.25" customHeight="1">
      <c r="B150" s="431" t="s">
        <v>2542</v>
      </c>
      <c r="C150" s="571" t="s">
        <v>2954</v>
      </c>
      <c r="D150" s="106"/>
      <c r="K150" s="41"/>
      <c r="L150" s="3082" t="s">
        <v>3941</v>
      </c>
      <c r="M150" s="3083"/>
      <c r="N150" s="431" t="s">
        <v>2542</v>
      </c>
      <c r="O150" s="2938"/>
      <c r="P150" s="633"/>
    </row>
    <row r="151" spans="1:25" ht="11.25" customHeight="1">
      <c r="B151" s="431" t="s">
        <v>2543</v>
      </c>
      <c r="C151" s="571" t="s">
        <v>3940</v>
      </c>
      <c r="K151" s="41"/>
      <c r="M151" s="414"/>
      <c r="N151" s="431" t="s">
        <v>2543</v>
      </c>
      <c r="O151" s="2936"/>
      <c r="P151" s="634"/>
    </row>
    <row r="152" spans="1:25" ht="10.9" customHeight="1">
      <c r="B152" s="431"/>
      <c r="C152" s="571"/>
      <c r="K152" s="41"/>
      <c r="M152" s="414"/>
      <c r="N152" s="414"/>
      <c r="O152" s="414"/>
      <c r="P152" s="414"/>
    </row>
    <row r="153" spans="1:25" ht="11.25" customHeight="1">
      <c r="A153" s="149" t="s">
        <v>2058</v>
      </c>
      <c r="B153" s="195" t="s">
        <v>3572</v>
      </c>
      <c r="G153" s="539" t="s">
        <v>3700</v>
      </c>
      <c r="H153" s="172"/>
      <c r="I153" s="172"/>
      <c r="K153" s="41"/>
      <c r="L153" s="3084" t="s">
        <v>3701</v>
      </c>
      <c r="M153" s="484">
        <v>3</v>
      </c>
      <c r="N153" s="431" t="s">
        <v>2058</v>
      </c>
      <c r="O153" s="2978"/>
      <c r="P153" s="630"/>
      <c r="X153" s="414"/>
      <c r="Y153" s="416"/>
    </row>
    <row r="154" spans="1:25" ht="11.25" customHeight="1">
      <c r="A154" s="589"/>
      <c r="G154" s="539" t="s">
        <v>3863</v>
      </c>
      <c r="H154" s="172"/>
      <c r="L154" s="2294" t="str">
        <f>'Part I-Project Information'!$O$28</f>
        <v>0028.00</v>
      </c>
      <c r="M154" s="2294"/>
      <c r="N154" s="28"/>
      <c r="O154" s="28"/>
      <c r="P154" s="28"/>
    </row>
    <row r="155" spans="1:25" ht="11.25" customHeight="1">
      <c r="A155" s="589"/>
      <c r="B155" s="539"/>
      <c r="D155" s="768"/>
      <c r="G155" s="539" t="s">
        <v>3578</v>
      </c>
      <c r="H155" s="172"/>
      <c r="K155" s="1143"/>
      <c r="L155" s="493" t="str">
        <f>'Part I-Project Information'!$N$29</f>
        <v>Yes</v>
      </c>
      <c r="N155" s="28"/>
      <c r="O155" s="28"/>
      <c r="P155" s="28"/>
    </row>
    <row r="156" spans="1:25" ht="11.25" customHeight="1">
      <c r="A156" s="589"/>
      <c r="B156" s="539"/>
      <c r="D156" s="768"/>
      <c r="E156" s="539"/>
      <c r="G156" s="487" t="s">
        <v>3574</v>
      </c>
      <c r="H156" s="172"/>
      <c r="K156" s="1143"/>
      <c r="L156" s="1143" t="str">
        <f>'Part IV-Uses of Funds'!$H$151</f>
        <v>DDA/QCT</v>
      </c>
      <c r="N156" s="28"/>
      <c r="O156" s="28"/>
      <c r="P156" s="28"/>
    </row>
    <row r="157" spans="1:25" ht="11.45" customHeight="1">
      <c r="A157" s="149" t="s">
        <v>2061</v>
      </c>
      <c r="B157" s="195" t="s">
        <v>3575</v>
      </c>
      <c r="D157" s="34"/>
      <c r="M157" s="85">
        <v>2</v>
      </c>
      <c r="N157" s="28"/>
      <c r="O157" s="28"/>
      <c r="P157" s="28"/>
    </row>
    <row r="158" spans="1:25" ht="11.45" customHeight="1">
      <c r="A158" s="589"/>
      <c r="B158" s="494" t="s">
        <v>3577</v>
      </c>
      <c r="E158" s="125"/>
      <c r="N158" s="69" t="s">
        <v>2061</v>
      </c>
      <c r="O158" s="2978"/>
      <c r="P158" s="630"/>
      <c r="Q158" s="433"/>
    </row>
    <row r="159" spans="1:25" ht="11.45" customHeight="1">
      <c r="A159" s="149" t="s">
        <v>779</v>
      </c>
      <c r="B159" s="195" t="s">
        <v>2917</v>
      </c>
      <c r="C159" s="195"/>
      <c r="D159" s="34"/>
      <c r="M159" s="122"/>
      <c r="O159" s="597"/>
      <c r="P159" s="597"/>
    </row>
    <row r="160" spans="1:25" ht="22.5" customHeight="1">
      <c r="B160" s="496"/>
      <c r="C160" s="2199" t="s">
        <v>3943</v>
      </c>
      <c r="D160" s="2199"/>
      <c r="E160" s="2199"/>
      <c r="F160" s="2199"/>
      <c r="G160" s="2199"/>
      <c r="H160" s="2199"/>
      <c r="I160" s="2199"/>
      <c r="J160" s="2199"/>
      <c r="K160" s="2199"/>
      <c r="L160" s="2199"/>
      <c r="M160" s="827">
        <v>10</v>
      </c>
      <c r="N160" s="236" t="s">
        <v>779</v>
      </c>
      <c r="O160" s="3085"/>
      <c r="P160" s="631"/>
      <c r="R160" s="2311" t="s">
        <v>3947</v>
      </c>
      <c r="S160" s="2311"/>
      <c r="T160" s="2311" t="s">
        <v>3947</v>
      </c>
      <c r="U160" s="2311"/>
    </row>
    <row r="161" spans="1:21" ht="11.45" customHeight="1">
      <c r="A161" s="149" t="s">
        <v>2193</v>
      </c>
      <c r="B161" s="195" t="s">
        <v>3942</v>
      </c>
      <c r="C161" s="195"/>
      <c r="D161" s="34"/>
      <c r="I161" s="1197" t="s">
        <v>4219</v>
      </c>
      <c r="J161" s="1197" t="s">
        <v>4218</v>
      </c>
      <c r="K161" s="2313" t="s">
        <v>4086</v>
      </c>
      <c r="L161" s="2313"/>
      <c r="M161" s="122">
        <v>4</v>
      </c>
      <c r="N161" s="69" t="s">
        <v>2193</v>
      </c>
      <c r="O161" s="1198">
        <f>IF(O113&gt;=2,0,IF(AND(OR(J129="QCT &amp; Local Govt Adptd Revital Plan",$J$129="Local Govt Adopted Revitaliztn Plan"),SUM(R162:R166)&gt;=4),4,IF(AND(OR($J$129="QCT &amp; Local Govt Adptd Revital Plan",J129="Local Govt Adopted Revitaliztn Plan"),SUM(R162:R166)&gt;=3),3,0)))</f>
        <v>0</v>
      </c>
      <c r="P161" s="1198">
        <f>IF(P113&gt;=2,0,IF(AND(OR(K129="QCT &amp; Local Govt Adptd Revital Plan",$J$129="Local Govt Adopted Revitaliztn Plan"),SUM(S162:S166)&gt;=4),4,IF(AND(OR($J$129="QCT &amp; Local Govt Adptd Revital Plan",K129="Local Govt Adopted Revitaliztn Plan"),SUM(S162:S166)&gt;=3),3,0)))</f>
        <v>0</v>
      </c>
      <c r="R161" s="1207" t="s">
        <v>3422</v>
      </c>
      <c r="S161" s="1823" t="s">
        <v>268</v>
      </c>
      <c r="T161" s="1207" t="s">
        <v>3422</v>
      </c>
      <c r="U161" s="1823" t="s">
        <v>268</v>
      </c>
    </row>
    <row r="162" spans="1:21" ht="11.25" customHeight="1">
      <c r="B162" s="415" t="s">
        <v>2062</v>
      </c>
      <c r="C162" s="825" t="s">
        <v>3944</v>
      </c>
      <c r="D162" s="825"/>
      <c r="E162" s="825"/>
      <c r="F162" s="825"/>
      <c r="G162" s="825"/>
      <c r="H162" s="825"/>
      <c r="I162" s="1276">
        <f>$O$43</f>
        <v>0</v>
      </c>
      <c r="J162" s="1276">
        <f>$P$43</f>
        <v>0</v>
      </c>
      <c r="K162" s="2935"/>
      <c r="L162" s="632"/>
      <c r="M162" s="2317" t="str">
        <f>IF(OR(SUM(T162:T166)&gt;1,SUM(U162:U166)&gt;1),"Only one category can be met by other means!","")</f>
        <v/>
      </c>
      <c r="N162" s="490" t="s">
        <v>2062</v>
      </c>
      <c r="O162" s="1200" t="str">
        <f>IF(OR(I162&gt;=12,K162="Yes"),"Yes","No")</f>
        <v>No</v>
      </c>
      <c r="P162" s="632"/>
      <c r="R162" s="1823">
        <f>IF(O162="Yes",1,0)</f>
        <v>0</v>
      </c>
      <c r="S162" s="1823">
        <f>IF(P162="Yes",1,0)</f>
        <v>0</v>
      </c>
      <c r="T162" s="1823">
        <f t="shared" ref="T162:U166" si="0">IF(K162="Yes",1,0)</f>
        <v>0</v>
      </c>
      <c r="U162" s="1823">
        <f t="shared" si="0"/>
        <v>0</v>
      </c>
    </row>
    <row r="163" spans="1:21" ht="11.25" customHeight="1">
      <c r="B163" s="415" t="s">
        <v>2064</v>
      </c>
      <c r="C163" s="825" t="s">
        <v>4217</v>
      </c>
      <c r="D163" s="825"/>
      <c r="E163" s="825"/>
      <c r="F163" s="825"/>
      <c r="G163" s="825"/>
      <c r="H163" s="825"/>
      <c r="I163" s="1277" t="str">
        <f>IF(OR(M370="Yes",M371="Yes",M372="Yes"),"Yes","No")</f>
        <v>No</v>
      </c>
      <c r="J163" s="1277" t="str">
        <f>IF(OR(O370="Yes",O371="Yes",O372="Yes"),"Yes","No")</f>
        <v>No</v>
      </c>
      <c r="K163" s="2938"/>
      <c r="L163" s="633"/>
      <c r="M163" s="2317"/>
      <c r="N163" s="490" t="s">
        <v>2064</v>
      </c>
      <c r="O163" s="1201" t="str">
        <f>IF(OR(I163="Yes",K163="Yes"),"Yes","No")</f>
        <v>No</v>
      </c>
      <c r="P163" s="633"/>
      <c r="R163" s="1823">
        <f t="shared" ref="R163:S166" si="1">IF(O163="Yes",1,0)</f>
        <v>0</v>
      </c>
      <c r="S163" s="1823">
        <f t="shared" si="1"/>
        <v>0</v>
      </c>
      <c r="T163" s="1823">
        <f t="shared" si="0"/>
        <v>0</v>
      </c>
      <c r="U163" s="1823">
        <f t="shared" si="0"/>
        <v>0</v>
      </c>
    </row>
    <row r="164" spans="1:21" ht="11.25" customHeight="1">
      <c r="B164" s="415" t="s">
        <v>2622</v>
      </c>
      <c r="C164" s="825" t="s">
        <v>3946</v>
      </c>
      <c r="D164" s="825"/>
      <c r="E164" s="825"/>
      <c r="F164" s="825"/>
      <c r="G164" s="825"/>
      <c r="H164" s="825"/>
      <c r="I164" s="1276">
        <f>$O$275</f>
        <v>0</v>
      </c>
      <c r="J164" s="1276">
        <f>$P$275</f>
        <v>0</v>
      </c>
      <c r="K164" s="2938"/>
      <c r="L164" s="633"/>
      <c r="M164" s="2317"/>
      <c r="N164" s="490" t="s">
        <v>2622</v>
      </c>
      <c r="O164" s="1201" t="str">
        <f>IF(OR(I164&gt;=2,K164="Yes"),"Yes","No")</f>
        <v>No</v>
      </c>
      <c r="P164" s="633"/>
      <c r="R164" s="1823">
        <f t="shared" si="1"/>
        <v>0</v>
      </c>
      <c r="S164" s="1823">
        <f t="shared" si="1"/>
        <v>0</v>
      </c>
      <c r="T164" s="1823">
        <f t="shared" si="0"/>
        <v>0</v>
      </c>
      <c r="U164" s="1823">
        <f t="shared" si="0"/>
        <v>0</v>
      </c>
    </row>
    <row r="165" spans="1:21" ht="11.25" customHeight="1">
      <c r="B165" s="415" t="s">
        <v>1270</v>
      </c>
      <c r="C165" s="825" t="s">
        <v>3945</v>
      </c>
      <c r="D165" s="825"/>
      <c r="E165" s="825"/>
      <c r="F165" s="825"/>
      <c r="G165" s="825"/>
      <c r="H165" s="825"/>
      <c r="I165" s="1276">
        <f>$O$378</f>
        <v>0</v>
      </c>
      <c r="J165" s="1276">
        <f>$P$378</f>
        <v>0</v>
      </c>
      <c r="K165" s="2938"/>
      <c r="L165" s="633"/>
      <c r="M165" s="2317"/>
      <c r="N165" s="490" t="s">
        <v>1270</v>
      </c>
      <c r="O165" s="1201" t="str">
        <f>IF(OR(I165&gt;=2,K165="Yes"),"Yes","No")</f>
        <v>No</v>
      </c>
      <c r="P165" s="633"/>
      <c r="R165" s="1823">
        <f t="shared" si="1"/>
        <v>0</v>
      </c>
      <c r="S165" s="1823">
        <f t="shared" si="1"/>
        <v>0</v>
      </c>
      <c r="T165" s="1823">
        <f t="shared" si="0"/>
        <v>0</v>
      </c>
      <c r="U165" s="1823">
        <f t="shared" si="0"/>
        <v>0</v>
      </c>
    </row>
    <row r="166" spans="1:21" ht="11.25" customHeight="1">
      <c r="B166" s="415" t="s">
        <v>1271</v>
      </c>
      <c r="C166" s="825" t="s">
        <v>4220</v>
      </c>
      <c r="D166" s="825"/>
      <c r="E166" s="825"/>
      <c r="F166" s="825"/>
      <c r="G166" s="825"/>
      <c r="H166" s="825"/>
      <c r="I166" s="1199">
        <f>$L$125</f>
        <v>0</v>
      </c>
      <c r="J166" s="1377"/>
      <c r="K166" s="2936"/>
      <c r="L166" s="634"/>
      <c r="M166" s="2317"/>
      <c r="N166" s="490" t="s">
        <v>1271</v>
      </c>
      <c r="O166" s="1202" t="str">
        <f>IF(OR(I166&gt;=15%,K166="Yes"),"Yes","No")</f>
        <v>No</v>
      </c>
      <c r="P166" s="634"/>
      <c r="R166" s="1823">
        <f t="shared" si="1"/>
        <v>0</v>
      </c>
      <c r="S166" s="1823">
        <f t="shared" si="1"/>
        <v>0</v>
      </c>
      <c r="T166" s="1823">
        <f t="shared" si="0"/>
        <v>0</v>
      </c>
      <c r="U166" s="1823">
        <f t="shared" si="0"/>
        <v>0</v>
      </c>
    </row>
    <row r="167" spans="1:21" s="44" customFormat="1" ht="13.9" customHeight="1">
      <c r="A167" s="43"/>
      <c r="B167" s="50" t="s">
        <v>267</v>
      </c>
      <c r="C167" s="43"/>
      <c r="D167" s="49"/>
      <c r="E167" s="49"/>
      <c r="F167" s="49"/>
      <c r="G167" s="49"/>
      <c r="H167" s="37"/>
      <c r="I167" s="145"/>
      <c r="M167" s="47"/>
      <c r="N167" s="65"/>
      <c r="O167" s="3"/>
      <c r="P167" s="1813"/>
    </row>
    <row r="168" spans="1:21" s="44" customFormat="1" ht="12.75" customHeight="1">
      <c r="A168" s="3057"/>
      <c r="B168" s="3058"/>
      <c r="C168" s="3058"/>
      <c r="D168" s="3058"/>
      <c r="E168" s="3058"/>
      <c r="F168" s="3058"/>
      <c r="G168" s="3058"/>
      <c r="H168" s="3058"/>
      <c r="I168" s="3058"/>
      <c r="J168" s="3058"/>
      <c r="K168" s="3058"/>
      <c r="L168" s="3058"/>
      <c r="M168" s="3058"/>
      <c r="N168" s="3058"/>
      <c r="O168" s="3058"/>
      <c r="P168" s="3059"/>
      <c r="Q168" s="502" t="s">
        <v>1301</v>
      </c>
    </row>
    <row r="169" spans="1:21" s="44" customFormat="1" ht="11.25" customHeight="1">
      <c r="A169" s="43"/>
      <c r="B169" s="91" t="s">
        <v>1937</v>
      </c>
      <c r="C169" s="43"/>
      <c r="D169" s="91"/>
      <c r="E169" s="1814"/>
      <c r="F169" s="1814"/>
      <c r="G169" s="1814"/>
      <c r="H169" s="1814"/>
      <c r="I169" s="1814"/>
      <c r="J169" s="1814"/>
      <c r="K169" s="1814"/>
      <c r="L169" s="1814"/>
      <c r="M169" s="1814"/>
      <c r="N169" s="79"/>
      <c r="O169" s="75"/>
      <c r="P169" s="1809"/>
      <c r="Q169" s="478"/>
    </row>
    <row r="170" spans="1:21" s="44" customFormat="1" ht="12.75" customHeight="1">
      <c r="A170" s="2204"/>
      <c r="B170" s="2205"/>
      <c r="C170" s="2205"/>
      <c r="D170" s="2205"/>
      <c r="E170" s="2205"/>
      <c r="F170" s="2205"/>
      <c r="G170" s="2205"/>
      <c r="H170" s="2205"/>
      <c r="I170" s="2205"/>
      <c r="J170" s="2205"/>
      <c r="K170" s="2205"/>
      <c r="L170" s="2205"/>
      <c r="M170" s="2205"/>
      <c r="N170" s="2205"/>
      <c r="O170" s="2205"/>
      <c r="P170" s="2206"/>
      <c r="Q170" s="502" t="s">
        <v>1301</v>
      </c>
    </row>
    <row r="171" spans="1:21" ht="3.6" customHeight="1">
      <c r="B171" s="125"/>
      <c r="C171" s="125"/>
      <c r="D171" s="125"/>
      <c r="E171" s="125"/>
    </row>
    <row r="172" spans="1:21" s="44" customFormat="1" ht="12" customHeight="1">
      <c r="A172" s="165" t="s">
        <v>225</v>
      </c>
      <c r="B172" s="111" t="s">
        <v>2544</v>
      </c>
      <c r="D172" s="42"/>
      <c r="E172" s="42"/>
      <c r="F172" s="42"/>
      <c r="H172" s="64" t="s">
        <v>3602</v>
      </c>
      <c r="K172" s="49"/>
      <c r="M172" s="1809">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89"/>
      <c r="B173" s="539"/>
      <c r="D173" s="768"/>
      <c r="E173" s="539"/>
      <c r="H173" s="92" t="s">
        <v>2913</v>
      </c>
      <c r="I173" s="485"/>
      <c r="J173" s="2312" t="str">
        <f>'Part I-Project Information'!$H$90</f>
        <v>N/A - 4% Bond</v>
      </c>
      <c r="K173" s="2312"/>
      <c r="N173" s="28"/>
      <c r="O173" s="28"/>
      <c r="P173" s="28"/>
    </row>
    <row r="174" spans="1:21" ht="12" customHeight="1">
      <c r="A174" s="1810" t="s">
        <v>2058</v>
      </c>
      <c r="B174" s="195" t="s">
        <v>2312</v>
      </c>
      <c r="D174" s="34"/>
      <c r="E174" s="34"/>
      <c r="F174" s="34"/>
      <c r="H174" s="92" t="s">
        <v>4135</v>
      </c>
      <c r="I174" s="485"/>
      <c r="J174" s="2312" t="str">
        <f>'Part I-Project Information'!$O$24</f>
        <v>No</v>
      </c>
      <c r="K174" s="2312"/>
      <c r="L174" s="1330">
        <f>'Part I-Project Information'!$O$25</f>
        <v>0</v>
      </c>
      <c r="M174" s="77">
        <v>3</v>
      </c>
      <c r="N174" s="527" t="s">
        <v>2058</v>
      </c>
      <c r="O174" s="3009"/>
      <c r="P174" s="624"/>
      <c r="Q174" s="433" t="s">
        <v>2811</v>
      </c>
    </row>
    <row r="175" spans="1:21" s="106" customFormat="1" ht="22.5" customHeight="1">
      <c r="B175" s="1156" t="s">
        <v>2062</v>
      </c>
      <c r="C175" s="2199" t="s">
        <v>3948</v>
      </c>
      <c r="D175" s="2131"/>
      <c r="E175" s="2131"/>
      <c r="F175" s="2131"/>
      <c r="G175" s="2131"/>
      <c r="H175" s="2131"/>
      <c r="I175" s="2131"/>
      <c r="J175" s="2131"/>
      <c r="K175" s="2131"/>
      <c r="L175" s="2131"/>
      <c r="M175" s="464"/>
      <c r="N175" s="434" t="s">
        <v>2062</v>
      </c>
      <c r="O175" s="2979"/>
      <c r="P175" s="637"/>
    </row>
    <row r="176" spans="1:21" s="106" customFormat="1" ht="12" customHeight="1">
      <c r="B176" s="765"/>
      <c r="C176" s="126" t="s">
        <v>997</v>
      </c>
      <c r="H176" s="539" t="s">
        <v>2671</v>
      </c>
      <c r="J176" s="3086"/>
      <c r="K176" s="3087"/>
    </row>
    <row r="177" spans="1:17" s="106" customFormat="1" ht="12" customHeight="1">
      <c r="B177" s="765"/>
      <c r="C177" s="126"/>
      <c r="H177" s="539" t="s">
        <v>2381</v>
      </c>
      <c r="J177" s="3088"/>
      <c r="K177" s="3089"/>
      <c r="L177" s="3090"/>
    </row>
    <row r="178" spans="1:17" s="126" customFormat="1" ht="12" customHeight="1">
      <c r="B178" s="765" t="s">
        <v>2064</v>
      </c>
      <c r="C178" s="126" t="s">
        <v>998</v>
      </c>
      <c r="M178" s="7"/>
      <c r="N178" s="192" t="s">
        <v>2064</v>
      </c>
      <c r="O178" s="2935"/>
      <c r="P178" s="632"/>
    </row>
    <row r="179" spans="1:17" s="126" customFormat="1" ht="12" customHeight="1">
      <c r="B179" s="765" t="s">
        <v>2622</v>
      </c>
      <c r="C179" s="126" t="s">
        <v>999</v>
      </c>
      <c r="M179" s="7"/>
      <c r="N179" s="192" t="s">
        <v>2622</v>
      </c>
      <c r="O179" s="2938"/>
      <c r="P179" s="633"/>
    </row>
    <row r="180" spans="1:17" s="126" customFormat="1" ht="12" customHeight="1">
      <c r="A180" s="589"/>
      <c r="B180" s="765" t="s">
        <v>1270</v>
      </c>
      <c r="C180" s="126" t="s">
        <v>1000</v>
      </c>
      <c r="M180" s="7"/>
      <c r="N180" s="192" t="s">
        <v>1270</v>
      </c>
      <c r="O180" s="2936"/>
      <c r="P180" s="634"/>
    </row>
    <row r="181" spans="1:17" s="34" customFormat="1" ht="12" customHeight="1">
      <c r="A181" s="1810" t="s">
        <v>2061</v>
      </c>
      <c r="B181" s="195" t="s">
        <v>3951</v>
      </c>
      <c r="D181" s="774"/>
      <c r="H181" s="64" t="s">
        <v>3603</v>
      </c>
      <c r="M181" s="770">
        <v>3</v>
      </c>
      <c r="N181" s="527" t="s">
        <v>2061</v>
      </c>
      <c r="O181" s="1206">
        <f>IF($J$173="Flexible", MIN($M$181, SUM(O183:O184)), 0)</f>
        <v>0</v>
      </c>
      <c r="P181" s="1206">
        <f>IF($J$173="Flexible", MIN($M$181, SUM(P183:P184)), 0)</f>
        <v>0</v>
      </c>
    </row>
    <row r="182" spans="1:17" s="34" customFormat="1" ht="12" customHeight="1">
      <c r="A182" s="1810"/>
      <c r="B182" s="1203" t="s">
        <v>3953</v>
      </c>
      <c r="D182" s="774"/>
      <c r="H182" s="64"/>
    </row>
    <row r="183" spans="1:17" s="34" customFormat="1" ht="12" customHeight="1">
      <c r="B183" s="415" t="s">
        <v>2062</v>
      </c>
      <c r="C183" s="772" t="s">
        <v>3956</v>
      </c>
      <c r="M183" s="77">
        <v>3</v>
      </c>
      <c r="N183" s="490" t="s">
        <v>2062</v>
      </c>
      <c r="O183" s="3009"/>
      <c r="P183" s="624"/>
      <c r="Q183" s="188" t="s">
        <v>2811</v>
      </c>
    </row>
    <row r="184" spans="1:17" ht="12" customHeight="1">
      <c r="A184" s="773" t="s">
        <v>1403</v>
      </c>
      <c r="B184" s="496" t="s">
        <v>2064</v>
      </c>
      <c r="C184" s="495" t="s">
        <v>3954</v>
      </c>
      <c r="D184" s="34"/>
      <c r="E184" s="34"/>
      <c r="F184" s="34"/>
      <c r="G184" s="41"/>
      <c r="H184" s="64"/>
      <c r="I184" s="41"/>
      <c r="M184" s="85">
        <v>2</v>
      </c>
      <c r="N184" s="1204" t="s">
        <v>2064</v>
      </c>
      <c r="O184" s="3010"/>
      <c r="P184" s="626"/>
      <c r="Q184" s="188" t="s">
        <v>2811</v>
      </c>
    </row>
    <row r="185" spans="1:17" s="34" customFormat="1" ht="12" customHeight="1">
      <c r="A185" s="1810" t="s">
        <v>779</v>
      </c>
      <c r="B185" s="195" t="s">
        <v>3952</v>
      </c>
      <c r="D185" s="774"/>
      <c r="H185" s="64" t="s">
        <v>3960</v>
      </c>
      <c r="M185" s="770">
        <v>4</v>
      </c>
      <c r="N185" s="527" t="s">
        <v>779</v>
      </c>
      <c r="O185" s="1206">
        <f>IF($J$173="Rural", MIN($M$185, SUM(O187:O189)), 0)</f>
        <v>0</v>
      </c>
      <c r="P185" s="1206">
        <f>IF($J$173="Rural", MIN($M$185, SUM(P187:P189)), 0)</f>
        <v>0</v>
      </c>
    </row>
    <row r="186" spans="1:17" s="34" customFormat="1" ht="12" customHeight="1">
      <c r="A186" s="1810"/>
      <c r="B186" s="1203" t="s">
        <v>3957</v>
      </c>
      <c r="D186" s="774"/>
      <c r="H186" s="64"/>
    </row>
    <row r="187" spans="1:17" s="34" customFormat="1" ht="12" customHeight="1">
      <c r="B187" s="415" t="s">
        <v>2062</v>
      </c>
      <c r="C187" s="772" t="s">
        <v>3959</v>
      </c>
      <c r="K187" s="2327" t="str">
        <f>IF(AND(O187&gt;0,O189&gt;0),"Choose either option 1 or option 3!!!","")</f>
        <v/>
      </c>
      <c r="L187" s="2327"/>
      <c r="M187" s="77">
        <v>3</v>
      </c>
      <c r="N187" s="490" t="s">
        <v>2062</v>
      </c>
      <c r="O187" s="3009"/>
      <c r="P187" s="624"/>
      <c r="Q187" s="188" t="s">
        <v>2811</v>
      </c>
    </row>
    <row r="188" spans="1:17" ht="12" customHeight="1">
      <c r="A188" s="773"/>
      <c r="B188" s="496" t="s">
        <v>2064</v>
      </c>
      <c r="C188" s="485" t="s">
        <v>3955</v>
      </c>
      <c r="D188" s="34"/>
      <c r="E188" s="34"/>
      <c r="F188" s="34"/>
      <c r="G188" s="41"/>
      <c r="H188" s="1205" t="s">
        <v>3961</v>
      </c>
      <c r="I188" s="41"/>
      <c r="K188" s="2327"/>
      <c r="L188" s="2327"/>
      <c r="M188" s="85">
        <v>1</v>
      </c>
      <c r="N188" s="1204" t="s">
        <v>2064</v>
      </c>
      <c r="O188" s="3035"/>
      <c r="P188" s="625"/>
      <c r="Q188" s="188" t="s">
        <v>2811</v>
      </c>
    </row>
    <row r="189" spans="1:17" ht="12" customHeight="1">
      <c r="A189" s="773" t="s">
        <v>1403</v>
      </c>
      <c r="B189" s="496" t="s">
        <v>2622</v>
      </c>
      <c r="C189" s="495" t="s">
        <v>3958</v>
      </c>
      <c r="D189" s="34"/>
      <c r="E189" s="34"/>
      <c r="F189" s="34"/>
      <c r="G189" s="41"/>
      <c r="H189" s="64"/>
      <c r="I189" s="41"/>
      <c r="K189" s="2327"/>
      <c r="L189" s="2327"/>
      <c r="M189" s="85">
        <v>2</v>
      </c>
      <c r="N189" s="1204" t="s">
        <v>2622</v>
      </c>
      <c r="O189" s="3010"/>
      <c r="P189" s="626"/>
      <c r="Q189" s="188" t="s">
        <v>2811</v>
      </c>
    </row>
    <row r="190" spans="1:17" s="44" customFormat="1" ht="12" customHeight="1">
      <c r="A190" s="43"/>
      <c r="B190" s="50" t="s">
        <v>267</v>
      </c>
      <c r="C190" s="43"/>
      <c r="D190" s="49"/>
      <c r="E190" s="49"/>
      <c r="F190" s="49"/>
      <c r="G190" s="49"/>
      <c r="H190" s="37"/>
      <c r="I190" s="37"/>
      <c r="J190" s="37"/>
      <c r="K190" s="37"/>
      <c r="M190" s="47"/>
      <c r="N190" s="65"/>
      <c r="O190" s="3"/>
      <c r="P190" s="1813"/>
    </row>
    <row r="191" spans="1:17" s="44" customFormat="1" ht="12" customHeight="1">
      <c r="A191" s="2900"/>
      <c r="B191" s="2901"/>
      <c r="C191" s="2901"/>
      <c r="D191" s="2901"/>
      <c r="E191" s="2901"/>
      <c r="F191" s="2901"/>
      <c r="G191" s="2901"/>
      <c r="H191" s="2901"/>
      <c r="I191" s="2901"/>
      <c r="J191" s="2901"/>
      <c r="K191" s="2901"/>
      <c r="L191" s="2901"/>
      <c r="M191" s="2901"/>
      <c r="N191" s="2901"/>
      <c r="O191" s="2901"/>
      <c r="P191" s="2902"/>
      <c r="Q191" s="502" t="s">
        <v>1301</v>
      </c>
    </row>
    <row r="192" spans="1:17" s="44" customFormat="1" ht="12" customHeight="1">
      <c r="B192" s="91" t="s">
        <v>1937</v>
      </c>
      <c r="C192" s="104"/>
      <c r="D192" s="91"/>
      <c r="E192" s="105"/>
      <c r="F192" s="1814"/>
      <c r="G192" s="1814"/>
      <c r="H192" s="1814"/>
      <c r="I192" s="1814"/>
      <c r="J192" s="1814"/>
      <c r="K192" s="1814"/>
      <c r="L192" s="1814"/>
      <c r="M192" s="1814"/>
      <c r="N192" s="79"/>
      <c r="O192" s="75"/>
      <c r="P192" s="1809"/>
      <c r="Q192" s="478"/>
    </row>
    <row r="193" spans="1:20" s="44" customFormat="1" ht="12" customHeight="1">
      <c r="A193" s="2121"/>
      <c r="B193" s="2122"/>
      <c r="C193" s="2122"/>
      <c r="D193" s="2122"/>
      <c r="E193" s="2122"/>
      <c r="F193" s="2122"/>
      <c r="G193" s="2122"/>
      <c r="H193" s="2122"/>
      <c r="I193" s="2122"/>
      <c r="J193" s="2122"/>
      <c r="K193" s="2122"/>
      <c r="L193" s="2122"/>
      <c r="M193" s="2122"/>
      <c r="N193" s="2122"/>
      <c r="O193" s="2122"/>
      <c r="P193" s="2123"/>
      <c r="Q193" s="502" t="s">
        <v>1301</v>
      </c>
    </row>
    <row r="194" spans="1:20" ht="3" customHeight="1">
      <c r="B194" s="125"/>
      <c r="C194" s="125"/>
      <c r="D194" s="125"/>
      <c r="E194" s="125"/>
    </row>
    <row r="195" spans="1:20" s="44" customFormat="1" ht="12" customHeight="1">
      <c r="A195" s="165" t="s">
        <v>226</v>
      </c>
      <c r="B195" s="111" t="s">
        <v>3595</v>
      </c>
      <c r="E195" s="42"/>
      <c r="F195" s="42"/>
      <c r="H195" s="64"/>
      <c r="K195" s="49"/>
      <c r="L195" s="417"/>
      <c r="M195" s="1809">
        <v>2</v>
      </c>
      <c r="N195" s="441"/>
      <c r="O195" s="837">
        <f>IF(SUM(R197:R200)=0,2,IF(SUM(R197:R200)=1,1,0))</f>
        <v>2</v>
      </c>
      <c r="P195" s="837">
        <f>IF(SUM(S197:S200)=0,2,IF(SUM(S197:S200)=1,1,0))</f>
        <v>2</v>
      </c>
      <c r="Q195" s="115" t="s">
        <v>456</v>
      </c>
      <c r="R195" s="2311" t="s">
        <v>3947</v>
      </c>
      <c r="S195" s="2311"/>
    </row>
    <row r="196" spans="1:20" ht="11.45" customHeight="1">
      <c r="B196" s="178" t="s">
        <v>1729</v>
      </c>
      <c r="E196" s="125"/>
      <c r="M196" s="430"/>
      <c r="N196" s="28"/>
      <c r="O196" s="127" t="s">
        <v>2597</v>
      </c>
      <c r="P196" s="127" t="s">
        <v>2597</v>
      </c>
      <c r="R196" s="1207" t="s">
        <v>3422</v>
      </c>
      <c r="S196" s="1823" t="s">
        <v>268</v>
      </c>
    </row>
    <row r="197" spans="1:20" s="436" customFormat="1" ht="22.5" customHeight="1">
      <c r="A197" s="154" t="s">
        <v>2058</v>
      </c>
      <c r="B197" s="2314" t="s">
        <v>3962</v>
      </c>
      <c r="C197" s="2314"/>
      <c r="D197" s="2314"/>
      <c r="E197" s="2314"/>
      <c r="F197" s="2314"/>
      <c r="G197" s="2314"/>
      <c r="H197" s="2314"/>
      <c r="I197" s="2314"/>
      <c r="J197" s="2314"/>
      <c r="K197" s="2314"/>
      <c r="L197" s="2314"/>
      <c r="M197" s="110"/>
      <c r="N197" s="174" t="s">
        <v>2058</v>
      </c>
      <c r="O197" s="2976"/>
      <c r="P197" s="635"/>
      <c r="R197" s="1208">
        <f t="shared" ref="R197:S200" si="2">IF(O197="Yes",1,0)</f>
        <v>0</v>
      </c>
      <c r="S197" s="1208">
        <f t="shared" si="2"/>
        <v>0</v>
      </c>
    </row>
    <row r="198" spans="1:20" s="436" customFormat="1" ht="22.5" customHeight="1">
      <c r="A198" s="154" t="s">
        <v>2061</v>
      </c>
      <c r="B198" s="2314" t="s">
        <v>2842</v>
      </c>
      <c r="C198" s="2314"/>
      <c r="D198" s="2314"/>
      <c r="E198" s="2314"/>
      <c r="F198" s="2314"/>
      <c r="G198" s="2314"/>
      <c r="H198" s="2314"/>
      <c r="I198" s="2314"/>
      <c r="J198" s="2314"/>
      <c r="K198" s="2314"/>
      <c r="L198" s="2314"/>
      <c r="M198" s="110"/>
      <c r="N198" s="174" t="s">
        <v>2061</v>
      </c>
      <c r="O198" s="2939"/>
      <c r="P198" s="636"/>
      <c r="R198" s="1208">
        <f t="shared" si="2"/>
        <v>0</v>
      </c>
      <c r="S198" s="1208">
        <f t="shared" si="2"/>
        <v>0</v>
      </c>
    </row>
    <row r="199" spans="1:20" s="436" customFormat="1" ht="11.25" customHeight="1">
      <c r="A199" s="154" t="s">
        <v>779</v>
      </c>
      <c r="B199" s="233" t="s">
        <v>1730</v>
      </c>
      <c r="M199" s="492"/>
      <c r="N199" s="69" t="s">
        <v>779</v>
      </c>
      <c r="O199" s="2938"/>
      <c r="P199" s="636"/>
      <c r="R199" s="1823">
        <f t="shared" si="2"/>
        <v>0</v>
      </c>
      <c r="S199" s="1823">
        <f t="shared" si="2"/>
        <v>0</v>
      </c>
    </row>
    <row r="200" spans="1:20" s="436" customFormat="1" ht="11.25" customHeight="1">
      <c r="A200" s="154" t="s">
        <v>2193</v>
      </c>
      <c r="B200" s="150" t="s">
        <v>3963</v>
      </c>
      <c r="M200" s="492"/>
      <c r="N200" s="69" t="s">
        <v>2193</v>
      </c>
      <c r="O200" s="2936"/>
      <c r="P200" s="637"/>
      <c r="R200" s="1823">
        <f t="shared" si="2"/>
        <v>0</v>
      </c>
      <c r="S200" s="1823">
        <f t="shared" si="2"/>
        <v>0</v>
      </c>
    </row>
    <row r="201" spans="1:20" s="44" customFormat="1" ht="12.75" customHeight="1">
      <c r="A201" s="432"/>
      <c r="B201" s="50" t="s">
        <v>267</v>
      </c>
      <c r="C201" s="43"/>
      <c r="D201" s="49"/>
      <c r="E201" s="49"/>
      <c r="F201" s="49"/>
      <c r="G201" s="49"/>
      <c r="H201" s="37"/>
      <c r="I201" s="37"/>
      <c r="J201" s="37"/>
      <c r="K201" s="37"/>
      <c r="M201" s="47"/>
      <c r="N201" s="65"/>
      <c r="O201" s="3"/>
      <c r="P201" s="1813"/>
    </row>
    <row r="202" spans="1:20" s="44" customFormat="1" ht="22.5" customHeight="1">
      <c r="A202" s="2900"/>
      <c r="B202" s="2901"/>
      <c r="C202" s="2901"/>
      <c r="D202" s="2901"/>
      <c r="E202" s="2901"/>
      <c r="F202" s="2901"/>
      <c r="G202" s="2901"/>
      <c r="H202" s="2901"/>
      <c r="I202" s="2901"/>
      <c r="J202" s="2901"/>
      <c r="K202" s="2901"/>
      <c r="L202" s="2901"/>
      <c r="M202" s="2901"/>
      <c r="N202" s="2901"/>
      <c r="O202" s="2901"/>
      <c r="P202" s="2902"/>
      <c r="Q202" s="502" t="s">
        <v>1301</v>
      </c>
    </row>
    <row r="203" spans="1:20" s="44" customFormat="1" ht="11.25" customHeight="1">
      <c r="A203" s="43"/>
      <c r="B203" s="91" t="s">
        <v>1937</v>
      </c>
      <c r="C203" s="43"/>
      <c r="D203" s="91"/>
      <c r="E203" s="1814"/>
      <c r="F203" s="1814"/>
      <c r="G203" s="1814"/>
      <c r="H203" s="1814"/>
      <c r="I203" s="1814"/>
      <c r="J203" s="1814"/>
      <c r="K203" s="1814"/>
      <c r="L203" s="1814"/>
      <c r="M203" s="1814"/>
      <c r="N203" s="79"/>
      <c r="O203" s="75"/>
      <c r="P203" s="1809"/>
      <c r="Q203" s="478"/>
    </row>
    <row r="204" spans="1:20" s="44" customFormat="1" ht="34.5" customHeight="1">
      <c r="A204" s="2121"/>
      <c r="B204" s="2122"/>
      <c r="C204" s="2122"/>
      <c r="D204" s="2122"/>
      <c r="E204" s="2122"/>
      <c r="F204" s="2122"/>
      <c r="G204" s="2122"/>
      <c r="H204" s="2122"/>
      <c r="I204" s="2122"/>
      <c r="J204" s="2122"/>
      <c r="K204" s="2122"/>
      <c r="L204" s="2122"/>
      <c r="M204" s="2122"/>
      <c r="N204" s="2122"/>
      <c r="O204" s="2122"/>
      <c r="P204" s="2123"/>
      <c r="Q204" s="502"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809">
        <v>1</v>
      </c>
      <c r="N206" s="6"/>
      <c r="O206" s="616">
        <f>MIN($M206,SUM(O207:O209))</f>
        <v>0</v>
      </c>
      <c r="P206" s="616">
        <f>MIN($M206,SUM(P207:P209))</f>
        <v>0</v>
      </c>
      <c r="Q206" s="115" t="s">
        <v>456</v>
      </c>
    </row>
    <row r="207" spans="1:20" s="108" customFormat="1" ht="12" customHeight="1">
      <c r="A207" s="149" t="s">
        <v>2058</v>
      </c>
      <c r="B207" s="180" t="s">
        <v>2313</v>
      </c>
      <c r="D207" s="64"/>
      <c r="E207" s="64"/>
      <c r="F207" s="45"/>
      <c r="G207" s="28"/>
      <c r="M207" s="7">
        <v>1</v>
      </c>
      <c r="N207" s="527" t="s">
        <v>2058</v>
      </c>
      <c r="O207" s="3009"/>
      <c r="P207" s="624"/>
      <c r="Q207" s="433" t="s">
        <v>2811</v>
      </c>
      <c r="T207" s="417" t="str">
        <f>IF(OR($O207=$M207,$O207=0,$O207=""),"","* * Check Score! * *")</f>
        <v/>
      </c>
    </row>
    <row r="208" spans="1:20" s="108" customFormat="1" ht="12" customHeight="1">
      <c r="A208" s="149"/>
      <c r="B208" s="41" t="s">
        <v>2794</v>
      </c>
      <c r="D208" s="64"/>
      <c r="E208" s="64"/>
      <c r="F208" s="45"/>
      <c r="G208" s="28"/>
      <c r="K208" s="527"/>
      <c r="M208" s="7"/>
      <c r="N208" s="527"/>
      <c r="O208" s="2936"/>
      <c r="P208" s="634"/>
      <c r="Q208" s="433"/>
      <c r="R208" s="417"/>
    </row>
    <row r="209" spans="1:20" s="44" customFormat="1" ht="12" customHeight="1">
      <c r="A209" s="149" t="s">
        <v>2061</v>
      </c>
      <c r="B209" s="180" t="s">
        <v>2314</v>
      </c>
      <c r="D209" s="60"/>
      <c r="K209" s="54"/>
      <c r="L209" s="108"/>
      <c r="M209" s="7">
        <v>1</v>
      </c>
      <c r="N209" s="527" t="s">
        <v>2061</v>
      </c>
      <c r="O209" s="3009"/>
      <c r="P209" s="624"/>
      <c r="Q209" s="433" t="s">
        <v>2811</v>
      </c>
      <c r="T209" s="417" t="str">
        <f>IF(OR($O209=$M209,$O209=0,$O209=""),"","* * Check Score! * *")</f>
        <v/>
      </c>
    </row>
    <row r="210" spans="1:20" s="44" customFormat="1" ht="12" customHeight="1">
      <c r="A210" s="149"/>
      <c r="B210" s="1220" t="s">
        <v>3964</v>
      </c>
      <c r="D210" s="60"/>
      <c r="H210" s="1832"/>
      <c r="K210" s="54"/>
      <c r="L210" s="108"/>
      <c r="M210" s="7"/>
      <c r="N210" s="527"/>
      <c r="O210" s="2936"/>
      <c r="P210" s="634"/>
      <c r="Q210" s="433"/>
      <c r="R210" s="417"/>
    </row>
    <row r="211" spans="1:20" s="44" customFormat="1" ht="12" customHeight="1">
      <c r="A211" s="43"/>
      <c r="B211" s="91" t="s">
        <v>1937</v>
      </c>
      <c r="C211" s="104"/>
      <c r="D211" s="91"/>
      <c r="E211" s="105"/>
      <c r="F211" s="1814"/>
      <c r="G211" s="1814"/>
      <c r="H211" s="1814"/>
      <c r="I211" s="1814"/>
      <c r="J211" s="1814"/>
      <c r="K211" s="1814"/>
      <c r="L211" s="1814"/>
      <c r="M211" s="1814"/>
      <c r="N211" s="79"/>
      <c r="O211" s="75"/>
      <c r="P211" s="1809"/>
      <c r="Q211" s="478"/>
    </row>
    <row r="212" spans="1:20" s="44" customFormat="1" ht="12" customHeight="1">
      <c r="A212" s="2121"/>
      <c r="B212" s="2122"/>
      <c r="C212" s="2122"/>
      <c r="D212" s="2122"/>
      <c r="E212" s="2122"/>
      <c r="F212" s="2122"/>
      <c r="G212" s="2122"/>
      <c r="H212" s="2122"/>
      <c r="I212" s="2122"/>
      <c r="J212" s="2122"/>
      <c r="K212" s="2122"/>
      <c r="L212" s="2122"/>
      <c r="M212" s="2122"/>
      <c r="N212" s="2122"/>
      <c r="O212" s="2122"/>
      <c r="P212" s="2123"/>
      <c r="Q212" s="502" t="s">
        <v>1301</v>
      </c>
    </row>
    <row r="213" spans="1:20" s="44" customFormat="1" ht="2.25" customHeight="1">
      <c r="A213" s="43"/>
      <c r="B213" s="43"/>
      <c r="C213" s="1814"/>
      <c r="D213" s="1814"/>
      <c r="E213" s="1814"/>
      <c r="F213" s="1814"/>
      <c r="G213" s="1814"/>
      <c r="H213" s="1814"/>
      <c r="I213" s="1814"/>
      <c r="J213" s="1814"/>
      <c r="K213" s="1814"/>
      <c r="L213" s="1814"/>
      <c r="M213" s="1814"/>
      <c r="N213" s="79"/>
      <c r="O213" s="75"/>
      <c r="P213" s="1190"/>
    </row>
    <row r="214" spans="1:20" s="44" customFormat="1" ht="15">
      <c r="A214" s="166" t="s">
        <v>245</v>
      </c>
      <c r="B214" s="119" t="s">
        <v>3596</v>
      </c>
      <c r="C214" s="93"/>
      <c r="D214" s="61"/>
      <c r="E214" s="54"/>
      <c r="M214" s="1809">
        <v>3</v>
      </c>
      <c r="N214" s="6"/>
      <c r="O214" s="6"/>
      <c r="P214" s="628"/>
      <c r="Q214" s="115" t="s">
        <v>456</v>
      </c>
    </row>
    <row r="215" spans="1:20" s="44" customFormat="1" ht="12" customHeight="1">
      <c r="A215" s="166"/>
      <c r="B215" s="41" t="s">
        <v>2786</v>
      </c>
      <c r="C215" s="93"/>
      <c r="D215" s="61"/>
      <c r="E215" s="54"/>
      <c r="I215" s="526">
        <f>'Part I-Project Information'!$H$86</f>
        <v>0</v>
      </c>
      <c r="M215" s="1809"/>
      <c r="N215" s="1809"/>
      <c r="O215" s="127" t="s">
        <v>2597</v>
      </c>
      <c r="P215" s="127" t="s">
        <v>2597</v>
      </c>
      <c r="Q215" s="115"/>
    </row>
    <row r="216" spans="1:20" s="44" customFormat="1" ht="12" customHeight="1">
      <c r="A216" s="149"/>
      <c r="B216" s="57" t="s">
        <v>3713</v>
      </c>
      <c r="D216" s="34"/>
      <c r="N216" s="527"/>
      <c r="O216" s="2935"/>
      <c r="P216" s="632"/>
      <c r="R216" s="417"/>
    </row>
    <row r="217" spans="1:20" s="44" customFormat="1" ht="12" customHeight="1">
      <c r="A217" s="149"/>
      <c r="B217" s="57" t="s">
        <v>3714</v>
      </c>
      <c r="D217" s="34"/>
      <c r="N217" s="527"/>
      <c r="O217" s="2938"/>
      <c r="P217" s="633"/>
      <c r="R217" s="417"/>
    </row>
    <row r="218" spans="1:20" s="44" customFormat="1" ht="12" customHeight="1">
      <c r="A218" s="149"/>
      <c r="B218" s="57" t="s">
        <v>3965</v>
      </c>
      <c r="D218" s="34"/>
      <c r="N218" s="527"/>
      <c r="O218" s="2936"/>
      <c r="P218" s="634"/>
      <c r="R218" s="417"/>
    </row>
    <row r="219" spans="1:20" s="44" customFormat="1" ht="12" customHeight="1">
      <c r="B219" s="91" t="s">
        <v>1937</v>
      </c>
      <c r="C219" s="104"/>
      <c r="D219" s="91"/>
      <c r="E219" s="105"/>
      <c r="F219" s="1814"/>
      <c r="G219" s="1814"/>
      <c r="H219" s="1814"/>
      <c r="I219" s="1814"/>
      <c r="J219" s="1814"/>
      <c r="K219" s="1814"/>
      <c r="L219" s="1814"/>
      <c r="M219" s="1814"/>
      <c r="N219" s="79"/>
      <c r="O219" s="75"/>
      <c r="P219" s="1809"/>
      <c r="Q219" s="478"/>
    </row>
    <row r="220" spans="1:20" s="44" customFormat="1" ht="12" customHeight="1">
      <c r="A220" s="2121"/>
      <c r="B220" s="2122"/>
      <c r="C220" s="2122"/>
      <c r="D220" s="2122"/>
      <c r="E220" s="2122"/>
      <c r="F220" s="2122"/>
      <c r="G220" s="2122"/>
      <c r="H220" s="2122"/>
      <c r="I220" s="2122"/>
      <c r="J220" s="2122"/>
      <c r="K220" s="2122"/>
      <c r="L220" s="2122"/>
      <c r="M220" s="2122"/>
      <c r="N220" s="2122"/>
      <c r="O220" s="2122"/>
      <c r="P220" s="2123"/>
      <c r="Q220" s="502" t="s">
        <v>1301</v>
      </c>
    </row>
    <row r="221" spans="1:20" ht="2.25" customHeight="1"/>
    <row r="222" spans="1:20" s="66" customFormat="1" ht="12.6" customHeight="1">
      <c r="A222" s="165" t="s">
        <v>246</v>
      </c>
      <c r="B222" s="111" t="s">
        <v>2956</v>
      </c>
      <c r="E222" s="37" t="s">
        <v>3865</v>
      </c>
      <c r="G222" s="826" t="str">
        <f>'Part I-Project Information'!$H$90</f>
        <v>N/A - 4% Bond</v>
      </c>
      <c r="H222" s="598" t="str">
        <f>IF(G222="Flexible","(NOTE: Only Rural pool applicants are eligible for this section.)","")</f>
        <v/>
      </c>
      <c r="K222" s="482" t="s">
        <v>3866</v>
      </c>
      <c r="L222" s="598" t="str">
        <f>'Part I-Project Information'!$K$30</f>
        <v>Urban</v>
      </c>
      <c r="M222" s="1809">
        <v>2</v>
      </c>
      <c r="N222" s="441"/>
      <c r="O222" s="3091"/>
      <c r="P222" s="628"/>
      <c r="Q222" s="115" t="s">
        <v>456</v>
      </c>
      <c r="R222" s="777" t="s">
        <v>2811</v>
      </c>
    </row>
    <row r="223" spans="1:20" s="66" customFormat="1" ht="3" customHeight="1">
      <c r="A223" s="165"/>
      <c r="M223" s="1809"/>
      <c r="N223" s="441"/>
      <c r="O223" s="441"/>
      <c r="P223" s="441"/>
    </row>
    <row r="224" spans="1:20" s="66" customFormat="1" ht="24.75" customHeight="1">
      <c r="A224" s="2099" t="s">
        <v>3966</v>
      </c>
      <c r="B224" s="2099"/>
      <c r="C224" s="2099"/>
      <c r="D224" s="2099"/>
      <c r="E224" s="2099"/>
      <c r="F224" s="2099"/>
      <c r="G224" s="2099"/>
      <c r="H224" s="2099"/>
      <c r="I224" s="2099"/>
      <c r="J224" s="2099"/>
      <c r="K224" s="2099"/>
      <c r="L224" s="2099"/>
      <c r="M224" s="2099"/>
      <c r="N224" s="2099"/>
      <c r="O224" s="2099"/>
      <c r="P224" s="236"/>
      <c r="R224" s="417"/>
    </row>
    <row r="225" spans="1:18" s="66" customFormat="1" ht="10.5" customHeight="1">
      <c r="A225" s="1167" t="s">
        <v>3864</v>
      </c>
      <c r="C225" s="2201" t="str">
        <f>'Part II-Development Team'!$H$14</f>
        <v>TBG Properties, LLC</v>
      </c>
      <c r="D225" s="2201"/>
      <c r="F225" s="1278">
        <f>'Part II-Development Team'!$L$139</f>
        <v>5.1E-5</v>
      </c>
      <c r="G225" s="2200" t="str">
        <f>'Part II-Development Team'!$Q$14</f>
        <v>Eddy Benoit, Jr.</v>
      </c>
      <c r="H225" s="2200"/>
      <c r="I225" s="1213" t="s">
        <v>4201</v>
      </c>
      <c r="J225" s="1365">
        <f>'Part VI-Revenues &amp; Expenses'!$O$62</f>
        <v>208</v>
      </c>
      <c r="K225" s="2315" t="s">
        <v>4202</v>
      </c>
      <c r="L225" s="2316"/>
      <c r="N225" s="441"/>
      <c r="O225" s="2202" t="s">
        <v>4207</v>
      </c>
      <c r="P225" s="2203"/>
      <c r="Q225" s="115"/>
      <c r="R225" s="28"/>
    </row>
    <row r="226" spans="1:18" s="66" customFormat="1" ht="10.5" customHeight="1">
      <c r="A226" s="1167" t="s">
        <v>3867</v>
      </c>
      <c r="C226" s="2201" t="str">
        <f>'Part II-Development Team'!$H$20</f>
        <v>Wheat Street Towers, LLC</v>
      </c>
      <c r="D226" s="2201"/>
      <c r="F226" s="1278">
        <f>'Part II-Development Team'!$L$140</f>
        <v>4.8999999999999998E-5</v>
      </c>
      <c r="G226" s="2200" t="str">
        <f>'Part II-Development Team'!$Q$20</f>
        <v>Eric Border</v>
      </c>
      <c r="H226" s="2200"/>
      <c r="I226" s="1214" t="s">
        <v>379</v>
      </c>
      <c r="J226" s="1366">
        <f>'Part VI-Revenues &amp; Expenses'!$O$81+'Part VI-Revenues &amp; Expenses'!$O$82</f>
        <v>0</v>
      </c>
      <c r="K226" s="2315"/>
      <c r="L226" s="2316"/>
      <c r="M226" s="3092"/>
      <c r="O226" s="1370" t="s">
        <v>1399</v>
      </c>
      <c r="P226" s="1371">
        <f>IF('Part VI-Revenues &amp; Expenses'!$O$62=0,0,'Part VI-Revenues &amp; Expenses'!$O$74/'Part VI-Revenues &amp; Expenses'!$O$62)</f>
        <v>0</v>
      </c>
      <c r="Q226" s="115"/>
      <c r="R226" s="28"/>
    </row>
    <row r="227" spans="1:18" s="66" customFormat="1" ht="10.5" customHeight="1">
      <c r="A227" s="1167" t="s">
        <v>3967</v>
      </c>
      <c r="C227" s="2201">
        <f>'Part II-Development Team'!$H$26</f>
        <v>0</v>
      </c>
      <c r="D227" s="2201"/>
      <c r="F227" s="1278">
        <f>'Part II-Development Team'!$L$141</f>
        <v>0</v>
      </c>
      <c r="G227" s="2200">
        <f>'Part II-Development Team'!$Q$26</f>
        <v>0</v>
      </c>
      <c r="H227" s="2200"/>
      <c r="I227" s="1215" t="s">
        <v>2375</v>
      </c>
      <c r="J227" s="1367">
        <f>'Part VI-Revenues &amp; Expenses'!$O$74</f>
        <v>0</v>
      </c>
      <c r="K227" s="2315"/>
      <c r="L227" s="2316"/>
      <c r="M227" s="1210"/>
      <c r="N227" s="441"/>
      <c r="O227" s="1372" t="s">
        <v>873</v>
      </c>
      <c r="P227" s="1373">
        <f>IF('Part VI-Revenues &amp; Expenses'!$O$62=0,0,('Part VI-Revenues &amp; Expenses'!$O$81 + 'Part VI-Revenues &amp; Expenses'!$O$82)/'Part VI-Revenues &amp; Expenses'!$O$62)</f>
        <v>0</v>
      </c>
      <c r="Q227" s="115"/>
      <c r="R227" s="28"/>
    </row>
    <row r="228" spans="1:18" s="66" customFormat="1" ht="10.5" customHeight="1">
      <c r="A228" s="1209" t="s">
        <v>3968</v>
      </c>
      <c r="C228" s="2201">
        <f>'Part II-Development Team'!$H$80</f>
        <v>0</v>
      </c>
      <c r="D228" s="2201"/>
      <c r="F228" s="1278">
        <f>'Part II-Development Team'!$L$148</f>
        <v>0</v>
      </c>
      <c r="G228" s="2200">
        <f>'Part II-Development Team'!$Q$80</f>
        <v>0</v>
      </c>
      <c r="H228" s="2200"/>
      <c r="I228" s="1168" t="s">
        <v>678</v>
      </c>
      <c r="J228" s="2201" t="str">
        <f>'Part II-Development Team'!$H$54</f>
        <v>The Benoit Group Development, LLC</v>
      </c>
      <c r="K228" s="2201"/>
      <c r="L228" s="1278">
        <f>'Part II-Development Team'!$L$145</f>
        <v>0</v>
      </c>
      <c r="M228" s="2200" t="str">
        <f>'Part II-Development Team'!$Q$54</f>
        <v>Eddy Benoit, Jr.</v>
      </c>
      <c r="N228" s="2200"/>
      <c r="Q228" s="115"/>
      <c r="R228" s="28"/>
    </row>
    <row r="229" spans="1:18" s="66" customFormat="1" ht="10.5" customHeight="1">
      <c r="A229" s="1168" t="s">
        <v>3971</v>
      </c>
      <c r="C229" s="2201" t="str">
        <f>'Part II-Development Team'!$H$33</f>
        <v>NDC</v>
      </c>
      <c r="D229" s="2201"/>
      <c r="F229" s="1278">
        <f>'Part II-Development Team'!$L$142</f>
        <v>0.9899</v>
      </c>
      <c r="G229" s="2200" t="str">
        <f>'Part II-Development Team'!$Q$33</f>
        <v>President</v>
      </c>
      <c r="H229" s="2200"/>
      <c r="I229" s="1168" t="s">
        <v>3040</v>
      </c>
      <c r="J229" s="2201" t="str">
        <f>'Part II-Development Team'!$H$60</f>
        <v>WSCF Development, LLC</v>
      </c>
      <c r="K229" s="2201"/>
      <c r="L229" s="1278">
        <f>'Part II-Development Team'!$L$146</f>
        <v>0</v>
      </c>
      <c r="M229" s="2200" t="str">
        <f>'Part II-Development Team'!$Q$60</f>
        <v>Eric Borders</v>
      </c>
      <c r="N229" s="2200"/>
      <c r="O229" s="441"/>
      <c r="P229" s="441"/>
      <c r="Q229" s="115"/>
      <c r="R229" s="28"/>
    </row>
    <row r="230" spans="1:18" s="66" customFormat="1" ht="10.5" customHeight="1">
      <c r="A230" s="1168" t="s">
        <v>3972</v>
      </c>
      <c r="C230" s="2201" t="str">
        <f>'Part II-Development Team'!$H$39</f>
        <v>Sugar Creek</v>
      </c>
      <c r="D230" s="2201"/>
      <c r="F230" s="1278">
        <f>'Part II-Development Team'!$L$143</f>
        <v>0.01</v>
      </c>
      <c r="G230" s="2200" t="str">
        <f>'Part II-Development Team'!$Q$39</f>
        <v>Chris Hite</v>
      </c>
      <c r="H230" s="2200"/>
      <c r="I230" s="1168" t="s">
        <v>3041</v>
      </c>
      <c r="J230" s="2201">
        <f>'Part II-Development Team'!$H$66</f>
        <v>0</v>
      </c>
      <c r="K230" s="2201"/>
      <c r="L230" s="1278">
        <f>'Part II-Development Team'!$L$147</f>
        <v>0</v>
      </c>
      <c r="M230" s="2200">
        <f>'Part II-Development Team'!$Q$66</f>
        <v>0</v>
      </c>
      <c r="N230" s="2200"/>
      <c r="O230" s="441"/>
      <c r="P230" s="441"/>
      <c r="Q230" s="115"/>
      <c r="R230" s="28"/>
    </row>
    <row r="231" spans="1:18" s="66" customFormat="1" ht="10.5" customHeight="1">
      <c r="A231" s="1209" t="s">
        <v>3970</v>
      </c>
      <c r="C231" s="2201">
        <f>'Part II-Development Team'!$H$46</f>
        <v>0</v>
      </c>
      <c r="D231" s="2201"/>
      <c r="F231" s="1278">
        <f>'Part II-Development Team'!$L$144</f>
        <v>0</v>
      </c>
      <c r="G231" s="2200">
        <f>'Part II-Development Team'!$Q$46</f>
        <v>0</v>
      </c>
      <c r="H231" s="2200"/>
      <c r="I231" s="1168" t="s">
        <v>3969</v>
      </c>
      <c r="J231" s="2201">
        <f>'Part II-Development Team'!$H$72</f>
        <v>0</v>
      </c>
      <c r="K231" s="2201"/>
      <c r="L231" s="1278">
        <f>'Part II-Development Team'!$L$149</f>
        <v>0</v>
      </c>
      <c r="M231" s="2200">
        <f>'Part II-Development Team'!$Q$72</f>
        <v>0</v>
      </c>
      <c r="N231" s="2200"/>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813"/>
    </row>
    <row r="233" spans="1:18" s="44" customFormat="1" ht="12" customHeight="1">
      <c r="A233" s="2900"/>
      <c r="B233" s="2901"/>
      <c r="C233" s="2901"/>
      <c r="D233" s="2901"/>
      <c r="E233" s="2901"/>
      <c r="F233" s="2901"/>
      <c r="G233" s="2901"/>
      <c r="H233" s="2901"/>
      <c r="I233" s="2902"/>
      <c r="J233" s="2121"/>
      <c r="K233" s="2122"/>
      <c r="L233" s="2122"/>
      <c r="M233" s="2122"/>
      <c r="N233" s="2122"/>
      <c r="O233" s="2122"/>
      <c r="P233" s="2123"/>
      <c r="Q233" s="502" t="s">
        <v>1301</v>
      </c>
    </row>
    <row r="234" spans="1:18" s="44" customFormat="1" ht="2.25" customHeight="1">
      <c r="A234" s="43"/>
      <c r="C234" s="1814"/>
      <c r="D234" s="1814"/>
      <c r="E234" s="1814"/>
      <c r="F234" s="1814"/>
      <c r="G234" s="1814"/>
      <c r="H234" s="1814"/>
      <c r="I234" s="1814"/>
      <c r="J234" s="1814"/>
      <c r="K234" s="1814"/>
      <c r="L234" s="1814"/>
      <c r="M234" s="1814"/>
      <c r="N234" s="79"/>
      <c r="O234" s="75"/>
      <c r="P234" s="1190"/>
    </row>
    <row r="235" spans="1:18" s="44" customFormat="1" ht="13.5" customHeight="1">
      <c r="A235" s="165" t="s">
        <v>1456</v>
      </c>
      <c r="B235" s="120" t="s">
        <v>1732</v>
      </c>
      <c r="D235" s="94"/>
      <c r="E235" s="94"/>
      <c r="G235" s="54"/>
      <c r="H235" s="54"/>
      <c r="I235" s="54"/>
      <c r="J235" s="56"/>
      <c r="K235" s="1832"/>
      <c r="L235" s="417"/>
      <c r="M235" s="1190">
        <v>2</v>
      </c>
      <c r="N235" s="441"/>
      <c r="O235" s="1211">
        <f>MIN($M$235,O236+O243)</f>
        <v>0</v>
      </c>
      <c r="P235" s="1211">
        <f>MIN($M$235,P236+P243)</f>
        <v>0</v>
      </c>
      <c r="Q235" s="115" t="s">
        <v>456</v>
      </c>
    </row>
    <row r="236" spans="1:18" s="44" customFormat="1" ht="13.5" customHeight="1">
      <c r="A236" s="149" t="s">
        <v>2058</v>
      </c>
      <c r="B236" s="121" t="s">
        <v>3975</v>
      </c>
      <c r="D236" s="94"/>
      <c r="E236" s="94"/>
      <c r="G236" s="54"/>
      <c r="H236" s="54"/>
      <c r="I236" s="54"/>
      <c r="J236" s="56"/>
      <c r="K236" s="1832"/>
      <c r="L236" s="417" t="str">
        <f>IF(OR($O236=$M236,$O236=0,$O236=""),"","* * Check Score! * *")</f>
        <v/>
      </c>
      <c r="M236" s="484">
        <v>1</v>
      </c>
      <c r="N236" s="441" t="str">
        <f>IF(OR($O236=$M236,$O236=0,$O236=""),"","***")</f>
        <v/>
      </c>
      <c r="O236" s="3023"/>
      <c r="P236" s="1146"/>
      <c r="Q236" s="115"/>
      <c r="R236" s="433" t="s">
        <v>2811</v>
      </c>
    </row>
    <row r="237" spans="1:18" s="44" customFormat="1" ht="12" customHeight="1">
      <c r="B237" s="41" t="s">
        <v>3973</v>
      </c>
      <c r="D237" s="108"/>
      <c r="E237" s="94"/>
      <c r="F237" s="54"/>
      <c r="G237" s="54"/>
      <c r="H237" s="54"/>
      <c r="I237" s="53"/>
      <c r="N237" s="527" t="s">
        <v>2058</v>
      </c>
      <c r="O237" s="127" t="s">
        <v>2597</v>
      </c>
      <c r="P237" s="127" t="s">
        <v>2597</v>
      </c>
    </row>
    <row r="238" spans="1:18" s="106" customFormat="1" ht="12" customHeight="1">
      <c r="B238" s="490" t="s">
        <v>2062</v>
      </c>
      <c r="C238" s="145" t="s">
        <v>3974</v>
      </c>
      <c r="D238" s="126"/>
      <c r="E238" s="126"/>
      <c r="F238" s="126"/>
      <c r="I238" s="3093" t="s">
        <v>2609</v>
      </c>
      <c r="J238" s="3094"/>
      <c r="K238" s="3095"/>
      <c r="N238" s="490" t="s">
        <v>2062</v>
      </c>
      <c r="O238" s="2935"/>
      <c r="P238" s="632"/>
    </row>
    <row r="239" spans="1:18" s="106" customFormat="1" ht="12" customHeight="1">
      <c r="B239" s="490" t="s">
        <v>2064</v>
      </c>
      <c r="C239" s="145" t="s">
        <v>3022</v>
      </c>
      <c r="D239" s="126"/>
      <c r="E239" s="126"/>
      <c r="F239" s="126"/>
      <c r="G239" s="126"/>
      <c r="M239" s="126"/>
      <c r="N239" s="490" t="s">
        <v>2064</v>
      </c>
      <c r="O239" s="2938"/>
      <c r="P239" s="633"/>
    </row>
    <row r="240" spans="1:18" s="106" customFormat="1" ht="12" customHeight="1">
      <c r="A240" s="149"/>
      <c r="B240" s="490" t="s">
        <v>2622</v>
      </c>
      <c r="C240" s="145" t="s">
        <v>3976</v>
      </c>
      <c r="D240" s="126"/>
      <c r="E240" s="126"/>
      <c r="F240" s="126"/>
      <c r="G240" s="126"/>
      <c r="H240" s="126"/>
      <c r="L240" s="126"/>
      <c r="M240" s="126"/>
      <c r="N240" s="490" t="s">
        <v>2622</v>
      </c>
      <c r="O240" s="2938"/>
      <c r="P240" s="633"/>
    </row>
    <row r="241" spans="1:18" s="106" customFormat="1" ht="12" customHeight="1">
      <c r="A241" s="149"/>
      <c r="B241" s="490" t="s">
        <v>1270</v>
      </c>
      <c r="C241" s="145" t="s">
        <v>3977</v>
      </c>
      <c r="D241" s="126"/>
      <c r="E241" s="126"/>
      <c r="F241" s="126"/>
      <c r="G241" s="126"/>
      <c r="H241" s="126"/>
      <c r="I241" s="126"/>
      <c r="J241" s="126"/>
      <c r="K241" s="126"/>
      <c r="L241" s="126"/>
      <c r="M241" s="126"/>
      <c r="N241" s="490" t="s">
        <v>1270</v>
      </c>
      <c r="O241" s="2936"/>
      <c r="P241" s="634"/>
    </row>
    <row r="242" spans="1:18" s="106" customFormat="1" ht="12" customHeight="1">
      <c r="B242" s="197" t="s">
        <v>3978</v>
      </c>
      <c r="D242" s="126"/>
      <c r="E242" s="126"/>
      <c r="F242" s="126"/>
      <c r="G242" s="126"/>
      <c r="H242" s="126"/>
      <c r="I242" s="126"/>
      <c r="J242" s="126"/>
      <c r="K242" s="126"/>
      <c r="L242" s="126"/>
      <c r="M242" s="126"/>
      <c r="N242" s="527"/>
      <c r="O242" s="527"/>
      <c r="P242" s="527"/>
    </row>
    <row r="243" spans="1:18" ht="11.45" customHeight="1">
      <c r="A243" s="149" t="s">
        <v>2061</v>
      </c>
      <c r="B243" s="195" t="s">
        <v>2916</v>
      </c>
      <c r="D243" s="34"/>
      <c r="G243" s="2276" t="s">
        <v>3762</v>
      </c>
      <c r="H243" s="2276"/>
      <c r="I243" s="2276"/>
      <c r="J243" s="2276"/>
      <c r="K243" s="2276"/>
      <c r="L243" s="417" t="str">
        <f>IF(OR($O243=$M243,$O243=0,$O243=""),"","* * Check Score! * *")</f>
        <v/>
      </c>
      <c r="M243" s="85">
        <v>1</v>
      </c>
      <c r="N243" s="441" t="str">
        <f>IF(OR($O243=$M243,$O243=0,$O243=""),"","***")</f>
        <v/>
      </c>
      <c r="O243" s="3023"/>
      <c r="P243" s="1146"/>
      <c r="Q243" s="115"/>
      <c r="R243" s="433" t="s">
        <v>2811</v>
      </c>
    </row>
    <row r="244" spans="1:18" ht="11.45" customHeight="1">
      <c r="B244" s="494" t="s">
        <v>2918</v>
      </c>
      <c r="E244" s="125"/>
      <c r="N244" s="69" t="s">
        <v>2061</v>
      </c>
      <c r="O244" s="2978"/>
      <c r="P244" s="630"/>
      <c r="Q244" s="433"/>
    </row>
    <row r="245" spans="1:18" ht="11.25" customHeight="1">
      <c r="A245" s="589"/>
      <c r="C245" s="145" t="s">
        <v>3980</v>
      </c>
      <c r="D245" s="1212" t="str">
        <f>'Part I-Project Information'!$F$28</f>
        <v>Atlanta</v>
      </c>
      <c r="F245" s="145" t="s">
        <v>3756</v>
      </c>
      <c r="G245" s="1212" t="str">
        <f>'Part I-Project Information'!$J$29</f>
        <v>Fulton</v>
      </c>
      <c r="H245" s="481" t="s">
        <v>468</v>
      </c>
      <c r="I245" s="493" t="str">
        <f>'Part I-Project Information'!$N$29</f>
        <v>Yes</v>
      </c>
      <c r="K245" s="539" t="s">
        <v>3979</v>
      </c>
      <c r="L245" s="2294" t="str">
        <f>'Part I-Project Information'!$O$28</f>
        <v>0028.00</v>
      </c>
      <c r="M245" s="2294"/>
      <c r="N245" s="2294"/>
      <c r="O245" s="2294"/>
      <c r="P245" s="2294"/>
    </row>
    <row r="246" spans="1:18" s="44" customFormat="1" ht="12" customHeight="1">
      <c r="A246" s="43"/>
      <c r="B246" s="50" t="s">
        <v>267</v>
      </c>
      <c r="C246" s="43"/>
      <c r="D246" s="49"/>
      <c r="E246" s="49"/>
      <c r="F246" s="49"/>
      <c r="G246" s="49"/>
      <c r="H246" s="37"/>
      <c r="I246" s="37"/>
      <c r="J246" s="91" t="s">
        <v>1937</v>
      </c>
      <c r="M246" s="47"/>
      <c r="N246" s="65"/>
      <c r="O246" s="3"/>
      <c r="P246" s="1813"/>
    </row>
    <row r="247" spans="1:18" s="44" customFormat="1" ht="12" customHeight="1">
      <c r="A247" s="2900"/>
      <c r="B247" s="2901"/>
      <c r="C247" s="2901"/>
      <c r="D247" s="2901"/>
      <c r="E247" s="2901"/>
      <c r="F247" s="2901"/>
      <c r="G247" s="2901"/>
      <c r="H247" s="2901"/>
      <c r="I247" s="2902"/>
      <c r="J247" s="2121"/>
      <c r="K247" s="2122"/>
      <c r="L247" s="2122"/>
      <c r="M247" s="2122"/>
      <c r="N247" s="2122"/>
      <c r="O247" s="2122"/>
      <c r="P247" s="2123"/>
      <c r="Q247" s="502" t="s">
        <v>1301</v>
      </c>
    </row>
    <row r="248" spans="1:18" ht="4.5" customHeight="1"/>
    <row r="249" spans="1:18" s="44" customFormat="1" ht="15">
      <c r="A249" s="165" t="s">
        <v>1731</v>
      </c>
      <c r="B249" s="120" t="s">
        <v>2958</v>
      </c>
      <c r="D249" s="94"/>
      <c r="E249" s="94"/>
      <c r="F249" s="54"/>
      <c r="G249" s="54"/>
      <c r="H249" s="54"/>
      <c r="I249" s="180" t="s">
        <v>2913</v>
      </c>
      <c r="J249" s="593"/>
      <c r="K249" s="66"/>
      <c r="L249" s="594" t="str">
        <f>'Part I-Project Information'!$H$90</f>
        <v>N/A - 4% Bond</v>
      </c>
      <c r="M249" s="3">
        <v>8</v>
      </c>
      <c r="N249" s="6"/>
      <c r="O249" s="68">
        <f ca="1">O257+O273+O275</f>
        <v>0</v>
      </c>
      <c r="P249" s="68">
        <f ca="1">P257+P273+P275</f>
        <v>0</v>
      </c>
      <c r="Q249" s="115" t="s">
        <v>456</v>
      </c>
    </row>
    <row r="250" spans="1:18" s="44" customFormat="1" ht="11.25" customHeight="1">
      <c r="A250" s="43"/>
      <c r="B250" s="121" t="s">
        <v>3025</v>
      </c>
      <c r="E250" s="94"/>
      <c r="F250" s="54"/>
      <c r="G250" s="54"/>
      <c r="H250" s="54"/>
      <c r="I250" s="54"/>
      <c r="J250" s="56"/>
      <c r="K250" s="63"/>
      <c r="L250" s="59"/>
      <c r="O250" s="127" t="s">
        <v>2597</v>
      </c>
      <c r="P250" s="127" t="s">
        <v>2597</v>
      </c>
    </row>
    <row r="251" spans="1:18" s="106" customFormat="1" ht="11.25" customHeight="1">
      <c r="B251" s="490" t="s">
        <v>2062</v>
      </c>
      <c r="C251" s="485" t="s">
        <v>2957</v>
      </c>
      <c r="E251" s="94"/>
      <c r="F251" s="54"/>
      <c r="G251" s="54"/>
      <c r="H251" s="54"/>
      <c r="I251" s="54"/>
      <c r="J251" s="56"/>
      <c r="K251" s="63"/>
      <c r="L251" s="2263" t="str">
        <f>IF(OR(O251="No",O252="No",O253="No",O254="No",O256="No"),"Unmet criterion results in no points!","")</f>
        <v/>
      </c>
      <c r="N251" s="192" t="s">
        <v>2062</v>
      </c>
      <c r="O251" s="2935"/>
      <c r="P251" s="632"/>
    </row>
    <row r="252" spans="1:18" s="106" customFormat="1" ht="11.25" customHeight="1">
      <c r="B252" s="490" t="s">
        <v>2064</v>
      </c>
      <c r="C252" s="106" t="s">
        <v>588</v>
      </c>
      <c r="L252" s="2263"/>
      <c r="N252" s="192" t="s">
        <v>2064</v>
      </c>
      <c r="O252" s="2938"/>
      <c r="P252" s="633"/>
    </row>
    <row r="253" spans="1:18" s="106" customFormat="1" ht="11.25" customHeight="1">
      <c r="B253" s="490" t="s">
        <v>2622</v>
      </c>
      <c r="C253" s="106" t="s">
        <v>589</v>
      </c>
      <c r="L253" s="2295" t="str">
        <f>IF(OR(P251="No",P252="No",P253="No",P254="No",P256="No"),"Unmet criterion results in no points!","")</f>
        <v/>
      </c>
      <c r="N253" s="192" t="s">
        <v>2622</v>
      </c>
      <c r="O253" s="2936"/>
      <c r="P253" s="634"/>
    </row>
    <row r="254" spans="1:18" s="106" customFormat="1" ht="11.25" customHeight="1">
      <c r="B254" s="490" t="s">
        <v>1270</v>
      </c>
      <c r="C254" s="485" t="s">
        <v>3983</v>
      </c>
      <c r="L254" s="2295"/>
      <c r="N254" s="192" t="s">
        <v>1270</v>
      </c>
      <c r="O254" s="2935"/>
      <c r="P254" s="632"/>
    </row>
    <row r="255" spans="1:18" s="106" customFormat="1" ht="11.25" customHeight="1">
      <c r="B255" s="416" t="s">
        <v>2520</v>
      </c>
      <c r="C255" s="485" t="s">
        <v>3985</v>
      </c>
      <c r="N255" s="192" t="s">
        <v>2520</v>
      </c>
      <c r="O255" s="2938"/>
      <c r="P255" s="633"/>
    </row>
    <row r="256" spans="1:18" s="491" customFormat="1" ht="22.5" customHeight="1">
      <c r="A256" s="1338" t="s">
        <v>3530</v>
      </c>
      <c r="B256" s="432" t="s">
        <v>2521</v>
      </c>
      <c r="C256" s="2199" t="s">
        <v>3984</v>
      </c>
      <c r="D256" s="2199"/>
      <c r="E256" s="2199"/>
      <c r="F256" s="2199"/>
      <c r="G256" s="2199"/>
      <c r="H256" s="2199"/>
      <c r="I256" s="2199"/>
      <c r="J256" s="2199"/>
      <c r="K256" s="2199"/>
      <c r="L256" s="2199"/>
      <c r="M256" s="2199"/>
      <c r="N256" s="434" t="s">
        <v>2521</v>
      </c>
      <c r="O256" s="2979"/>
      <c r="P256" s="637"/>
    </row>
    <row r="257" spans="1:18" s="44" customFormat="1" ht="12" customHeight="1">
      <c r="A257" s="149" t="s">
        <v>2058</v>
      </c>
      <c r="B257" s="197" t="s">
        <v>1914</v>
      </c>
      <c r="D257" s="41"/>
      <c r="E257" s="41"/>
      <c r="F257" s="34"/>
      <c r="G257" s="108"/>
      <c r="H257" s="108"/>
      <c r="I257" s="108"/>
      <c r="J257" s="41"/>
      <c r="K257" s="108"/>
      <c r="L257" s="34"/>
      <c r="M257" s="484">
        <v>4</v>
      </c>
      <c r="N257" s="527" t="s">
        <v>2058</v>
      </c>
      <c r="O257" s="162">
        <f ca="1">IF(NOT(OR(O251="No",O252="No",O253="No",O254="No")),IF(AND($L249="Flexible",$I272&gt;=0.15), 4,IF(AND($L249="Flexible",$I272&gt;=0.1), 3,IF(AND($L249="Flexible",$I272&gt;=0.05), 2,IF(AND($L249="Flexible",$I272&gt;=0.02), 1,IF(AND($L249="Rural",$I272&gt;=0.1), 4,IF(AND($L249="Rural",$I272&gt;=0.05), 2,IF(AND($L249="Rural",$I272&gt;=0.02), 1,0))))))),0)</f>
        <v>0</v>
      </c>
      <c r="P257" s="162">
        <f ca="1">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5" t="s">
        <v>3986</v>
      </c>
      <c r="I258" s="2265" t="s">
        <v>2066</v>
      </c>
      <c r="J258" s="2265"/>
      <c r="L258" s="2265" t="s">
        <v>2066</v>
      </c>
      <c r="M258" s="2265"/>
      <c r="N258" s="192"/>
    </row>
    <row r="259" spans="1:18" s="44" customFormat="1" ht="11.25" customHeight="1">
      <c r="A259" s="193"/>
      <c r="B259" s="416" t="s">
        <v>2520</v>
      </c>
      <c r="C259" s="37" t="s">
        <v>1539</v>
      </c>
      <c r="H259" s="416" t="s">
        <v>2520</v>
      </c>
      <c r="I259" s="3096"/>
      <c r="J259" s="3097"/>
      <c r="K259" s="416" t="s">
        <v>2520</v>
      </c>
      <c r="L259" s="2268"/>
      <c r="M259" s="2269"/>
      <c r="N259" s="192"/>
      <c r="O259" s="1805"/>
      <c r="P259" s="1805"/>
      <c r="R259" s="417"/>
    </row>
    <row r="260" spans="1:18" ht="11.25" customHeight="1">
      <c r="A260" s="194"/>
      <c r="B260" s="432" t="s">
        <v>2521</v>
      </c>
      <c r="C260" s="37" t="s">
        <v>3989</v>
      </c>
      <c r="H260" s="432" t="s">
        <v>2521</v>
      </c>
      <c r="I260" s="3098"/>
      <c r="J260" s="3099"/>
      <c r="K260" s="432" t="s">
        <v>2521</v>
      </c>
      <c r="L260" s="2257"/>
      <c r="M260" s="2258"/>
      <c r="N260" s="192"/>
      <c r="R260" s="417"/>
    </row>
    <row r="261" spans="1:18" ht="11.25" customHeight="1">
      <c r="B261" s="416" t="s">
        <v>2522</v>
      </c>
      <c r="C261" s="37" t="s">
        <v>2716</v>
      </c>
      <c r="H261" s="416" t="s">
        <v>2522</v>
      </c>
      <c r="I261" s="3098"/>
      <c r="J261" s="3099"/>
      <c r="K261" s="416" t="s">
        <v>2522</v>
      </c>
      <c r="L261" s="2257"/>
      <c r="M261" s="2258"/>
      <c r="N261" s="192"/>
      <c r="R261" s="417"/>
    </row>
    <row r="262" spans="1:18" ht="11.25" customHeight="1">
      <c r="A262" s="194"/>
      <c r="B262" s="416" t="s">
        <v>2523</v>
      </c>
      <c r="C262" s="37" t="s">
        <v>3715</v>
      </c>
      <c r="H262" s="416" t="s">
        <v>2523</v>
      </c>
      <c r="I262" s="3098"/>
      <c r="J262" s="3099"/>
      <c r="K262" s="416" t="s">
        <v>2523</v>
      </c>
      <c r="L262" s="2257"/>
      <c r="M262" s="2258"/>
      <c r="N262" s="192"/>
      <c r="R262" s="417"/>
    </row>
    <row r="263" spans="1:18" s="44" customFormat="1" ht="11.25" customHeight="1">
      <c r="A263" s="193"/>
      <c r="B263" s="432" t="s">
        <v>2524</v>
      </c>
      <c r="C263" s="37" t="s">
        <v>2843</v>
      </c>
      <c r="H263" s="432" t="s">
        <v>2524</v>
      </c>
      <c r="I263" s="3098"/>
      <c r="J263" s="3099"/>
      <c r="K263" s="432" t="s">
        <v>2524</v>
      </c>
      <c r="L263" s="2257"/>
      <c r="M263" s="2258"/>
      <c r="N263" s="192"/>
      <c r="O263" s="1805"/>
      <c r="P263" s="1805"/>
      <c r="R263" s="417"/>
    </row>
    <row r="264" spans="1:18" ht="11.25" customHeight="1">
      <c r="B264" s="416" t="s">
        <v>2540</v>
      </c>
      <c r="C264" s="37" t="s">
        <v>1538</v>
      </c>
      <c r="H264" s="416" t="s">
        <v>2540</v>
      </c>
      <c r="I264" s="3098"/>
      <c r="J264" s="3099"/>
      <c r="K264" s="416" t="s">
        <v>2540</v>
      </c>
      <c r="L264" s="2257"/>
      <c r="M264" s="2258"/>
      <c r="N264" s="192"/>
      <c r="R264" s="417"/>
    </row>
    <row r="265" spans="1:18" ht="11.25" customHeight="1">
      <c r="A265" s="194"/>
      <c r="B265" s="416" t="s">
        <v>2541</v>
      </c>
      <c r="C265" s="37" t="s">
        <v>3987</v>
      </c>
      <c r="H265" s="416" t="s">
        <v>2541</v>
      </c>
      <c r="I265" s="3098"/>
      <c r="J265" s="3099"/>
      <c r="K265" s="416" t="s">
        <v>2541</v>
      </c>
      <c r="L265" s="2257"/>
      <c r="M265" s="2258"/>
      <c r="N265" s="192"/>
      <c r="R265" s="417"/>
    </row>
    <row r="266" spans="1:18" ht="11.25" customHeight="1">
      <c r="B266" s="431" t="s">
        <v>2542</v>
      </c>
      <c r="C266" s="37" t="s">
        <v>3988</v>
      </c>
      <c r="H266" s="431" t="s">
        <v>2542</v>
      </c>
      <c r="I266" s="3098"/>
      <c r="J266" s="3099"/>
      <c r="K266" s="431" t="s">
        <v>2542</v>
      </c>
      <c r="L266" s="2257"/>
      <c r="M266" s="2258"/>
      <c r="N266" s="192"/>
      <c r="R266" s="417"/>
    </row>
    <row r="267" spans="1:18" ht="11.25" customHeight="1">
      <c r="B267" s="431" t="s">
        <v>2543</v>
      </c>
      <c r="C267" s="37" t="s">
        <v>3990</v>
      </c>
      <c r="H267" s="431" t="s">
        <v>2543</v>
      </c>
      <c r="I267" s="3098"/>
      <c r="J267" s="3099"/>
      <c r="K267" s="431" t="s">
        <v>2543</v>
      </c>
      <c r="L267" s="2257"/>
      <c r="M267" s="2258"/>
      <c r="N267" s="192"/>
      <c r="R267" s="417"/>
    </row>
    <row r="268" spans="1:18" ht="11.25" customHeight="1" thickBot="1">
      <c r="A268" s="194"/>
      <c r="B268" s="431" t="s">
        <v>3991</v>
      </c>
      <c r="C268" s="37" t="s">
        <v>3992</v>
      </c>
      <c r="H268" s="431" t="s">
        <v>3991</v>
      </c>
      <c r="I268" s="3098"/>
      <c r="J268" s="3099"/>
      <c r="K268" s="431" t="s">
        <v>3991</v>
      </c>
      <c r="L268" s="2257"/>
      <c r="M268" s="2258"/>
      <c r="N268" s="1217" t="s">
        <v>3993</v>
      </c>
      <c r="R268" s="417"/>
    </row>
    <row r="269" spans="1:18" ht="12" customHeight="1" thickBot="1">
      <c r="A269" s="194"/>
      <c r="B269" s="490"/>
      <c r="C269" s="487" t="s">
        <v>2718</v>
      </c>
      <c r="H269" s="57"/>
      <c r="I269" s="2218">
        <f>SUM(I259:J268)</f>
        <v>0</v>
      </c>
      <c r="J269" s="2219"/>
      <c r="L269" s="2218">
        <f>SUM($L259:$L268)</f>
        <v>0</v>
      </c>
      <c r="M269" s="2219"/>
      <c r="N269" s="192"/>
      <c r="R269" s="417"/>
    </row>
    <row r="270" spans="1:18" s="44" customFormat="1" ht="3" customHeight="1">
      <c r="A270" s="43"/>
      <c r="B270" s="117"/>
      <c r="D270" s="40"/>
      <c r="E270" s="37"/>
      <c r="F270" s="1190"/>
      <c r="G270" s="2264" t="str">
        <f ca="1">IF(OR(I268=0,I268="",$I$271=0),"",IF(I268/$I$271&lt;10%,"Check amount of conventional loan in (j) - must be at least 10% of TDC!",""))</f>
        <v/>
      </c>
      <c r="H270" s="2264"/>
      <c r="I270" s="2264"/>
      <c r="J270" s="2264"/>
      <c r="K270" s="2264"/>
      <c r="L270" s="2225" t="str">
        <f ca="1">IF(OR(L268=0,L268="",$I$271=0),"",IF(L268/$I$271&lt;10%,"Check amount of conventional loan in (j) - must be at least 10% of TDC!",""))</f>
        <v/>
      </c>
      <c r="M270" s="2225"/>
      <c r="N270" s="2225"/>
      <c r="O270" s="2225"/>
      <c r="P270" s="2225"/>
    </row>
    <row r="271" spans="1:18" ht="12" customHeight="1">
      <c r="B271" s="415" t="s">
        <v>2064</v>
      </c>
      <c r="C271" s="495" t="s">
        <v>2717</v>
      </c>
      <c r="D271" s="487" t="s">
        <v>2719</v>
      </c>
      <c r="I271" s="2266">
        <f ca="1">'Part IV-Uses of Funds'!$G$131</f>
        <v>25231313.324578471</v>
      </c>
      <c r="J271" s="2267"/>
      <c r="L271" s="2225"/>
      <c r="M271" s="2225"/>
      <c r="N271" s="2225"/>
      <c r="O271" s="2225"/>
      <c r="P271" s="2225"/>
    </row>
    <row r="272" spans="1:18" ht="12" customHeight="1">
      <c r="B272" s="192"/>
      <c r="C272" s="486"/>
      <c r="D272" s="493" t="s">
        <v>2720</v>
      </c>
      <c r="G272" s="1169"/>
      <c r="H272" s="1169"/>
      <c r="I272" s="2328">
        <f ca="1">IF($I271=0,0,$I269/$I271)</f>
        <v>0</v>
      </c>
      <c r="J272" s="2329"/>
      <c r="L272" s="2259">
        <f ca="1">IF($I271=0,0,$L269/$I271)</f>
        <v>0</v>
      </c>
      <c r="M272" s="2260"/>
      <c r="N272" s="28"/>
      <c r="O272" s="28"/>
      <c r="P272" s="28"/>
    </row>
    <row r="273" spans="1:18" s="44" customFormat="1" ht="12.75" customHeight="1">
      <c r="A273" s="149" t="s">
        <v>2061</v>
      </c>
      <c r="B273" s="197" t="s">
        <v>3994</v>
      </c>
      <c r="D273" s="40"/>
      <c r="E273" s="37"/>
      <c r="F273" s="1190"/>
      <c r="H273" s="37"/>
      <c r="I273" s="1190"/>
      <c r="J273" s="1220"/>
      <c r="K273" s="1220"/>
      <c r="L273" s="1220"/>
      <c r="M273" s="77">
        <v>2</v>
      </c>
      <c r="N273" s="527" t="s">
        <v>2061</v>
      </c>
      <c r="O273" s="3100"/>
      <c r="P273" s="624"/>
      <c r="Q273" s="433" t="s">
        <v>2811</v>
      </c>
    </row>
    <row r="274" spans="1:18" s="44" customFormat="1" ht="11.25" customHeight="1">
      <c r="A274" s="149"/>
      <c r="B274" s="54" t="s">
        <v>3995</v>
      </c>
      <c r="C274" s="54"/>
      <c r="D274" s="54"/>
      <c r="E274" s="54"/>
      <c r="F274" s="54"/>
      <c r="G274" s="54"/>
      <c r="H274" s="54"/>
      <c r="I274" s="54"/>
      <c r="J274" s="54"/>
      <c r="K274" s="54"/>
      <c r="L274" s="54"/>
      <c r="M274" s="54"/>
      <c r="N274" s="54"/>
      <c r="O274" s="2936"/>
      <c r="P274" s="634"/>
    </row>
    <row r="275" spans="1:18" s="44" customFormat="1" ht="12.75" customHeight="1">
      <c r="A275" s="149" t="s">
        <v>779</v>
      </c>
      <c r="B275" s="197" t="s">
        <v>667</v>
      </c>
      <c r="D275" s="40"/>
      <c r="E275" s="37"/>
      <c r="F275" s="1190"/>
      <c r="G275" s="1190"/>
      <c r="H275" s="1190"/>
      <c r="I275" s="1190"/>
      <c r="J275" s="1220"/>
      <c r="K275" s="1220"/>
      <c r="L275" s="1220"/>
      <c r="M275" s="484">
        <v>2</v>
      </c>
      <c r="N275" s="527"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2973</v>
      </c>
      <c r="I276" s="2943"/>
      <c r="J276" s="2944"/>
      <c r="K276" s="2944"/>
      <c r="L276" s="2944"/>
      <c r="M276" s="2944"/>
      <c r="N276" s="2945"/>
    </row>
    <row r="277" spans="1:18" s="44" customFormat="1" ht="11.25" customHeight="1">
      <c r="A277" s="193"/>
      <c r="B277" s="539" t="s">
        <v>3997</v>
      </c>
      <c r="I277" s="3088" t="s">
        <v>2959</v>
      </c>
      <c r="J277" s="3089"/>
      <c r="K277" s="3090"/>
    </row>
    <row r="278" spans="1:18" ht="11.25" customHeight="1">
      <c r="A278" s="194"/>
      <c r="B278" s="539" t="s">
        <v>4203</v>
      </c>
      <c r="F278" s="3101"/>
      <c r="G278" s="3101"/>
      <c r="H278" s="3101"/>
      <c r="I278" s="3102"/>
      <c r="K278" s="3101"/>
      <c r="L278" s="3101"/>
      <c r="M278" s="3101"/>
      <c r="N278" s="3101"/>
      <c r="O278" s="3101"/>
      <c r="P278" s="3101"/>
    </row>
    <row r="279" spans="1:18" ht="11.25" customHeight="1">
      <c r="A279" s="194"/>
      <c r="B279" s="435" t="s">
        <v>3996</v>
      </c>
      <c r="G279" s="435"/>
      <c r="I279" s="3103"/>
      <c r="J279" s="3104"/>
      <c r="K279" s="3101"/>
      <c r="L279" s="3101"/>
      <c r="M279" s="3101"/>
      <c r="N279" s="3101"/>
      <c r="O279" s="3101"/>
      <c r="P279" s="3101"/>
    </row>
    <row r="280" spans="1:18" ht="22.5" customHeight="1">
      <c r="A280" s="194"/>
      <c r="B280" s="2136" t="s">
        <v>2438</v>
      </c>
      <c r="C280" s="2136"/>
      <c r="D280" s="3105"/>
      <c r="E280" s="3106"/>
      <c r="F280" s="3106"/>
      <c r="G280" s="3106"/>
      <c r="H280" s="3106"/>
      <c r="I280" s="3106"/>
      <c r="J280" s="3106"/>
      <c r="K280" s="3106"/>
      <c r="L280" s="3106"/>
      <c r="M280" s="3106"/>
      <c r="N280" s="3106"/>
      <c r="O280" s="3106"/>
      <c r="P280" s="3107"/>
      <c r="Q280" s="502" t="s">
        <v>1301</v>
      </c>
    </row>
    <row r="281" spans="1:18" ht="11.25" customHeight="1">
      <c r="B281" s="37" t="s">
        <v>3702</v>
      </c>
      <c r="E281" s="1836"/>
      <c r="I281" s="3108"/>
      <c r="J281" s="3109"/>
      <c r="L281" s="2216"/>
      <c r="M281" s="2217"/>
      <c r="N281" s="28"/>
      <c r="O281" s="28"/>
    </row>
    <row r="282" spans="1:18" s="44" customFormat="1" ht="11.25" customHeight="1">
      <c r="A282" s="43"/>
      <c r="C282" s="37" t="s">
        <v>3703</v>
      </c>
      <c r="D282" s="1814"/>
      <c r="E282" s="1814"/>
      <c r="F282" s="1814"/>
      <c r="G282" s="1814"/>
      <c r="H282" s="1814"/>
      <c r="I282" s="2259">
        <f>IF($I281=0,0,$I281/$I271)</f>
        <v>0</v>
      </c>
      <c r="J282" s="2260"/>
      <c r="K282" s="1814"/>
      <c r="L282" s="2259">
        <f>IF($L281=0,0,$L281/$I271)</f>
        <v>0</v>
      </c>
      <c r="M282" s="2260"/>
      <c r="N282" s="79"/>
      <c r="O282" s="75"/>
      <c r="P282" s="1190"/>
    </row>
    <row r="283" spans="1:18" s="44" customFormat="1" ht="12" customHeight="1">
      <c r="A283" s="43"/>
      <c r="B283" s="50" t="s">
        <v>267</v>
      </c>
      <c r="C283" s="43"/>
      <c r="D283" s="49"/>
      <c r="E283" s="49"/>
      <c r="F283" s="49"/>
      <c r="G283" s="49"/>
      <c r="H283" s="37"/>
      <c r="I283" s="37"/>
      <c r="J283" s="37"/>
      <c r="K283" s="37"/>
      <c r="M283" s="47"/>
      <c r="N283" s="65"/>
      <c r="O283" s="3"/>
      <c r="P283" s="1813"/>
    </row>
    <row r="284" spans="1:18" s="44" customFormat="1" ht="12" customHeight="1">
      <c r="A284" s="2900"/>
      <c r="B284" s="2901"/>
      <c r="C284" s="2901"/>
      <c r="D284" s="2901"/>
      <c r="E284" s="2901"/>
      <c r="F284" s="2901"/>
      <c r="G284" s="2901"/>
      <c r="H284" s="2901"/>
      <c r="I284" s="2901"/>
      <c r="J284" s="2901"/>
      <c r="K284" s="2901"/>
      <c r="L284" s="2901"/>
      <c r="M284" s="2901"/>
      <c r="N284" s="2901"/>
      <c r="O284" s="2901"/>
      <c r="P284" s="2902"/>
      <c r="Q284" s="502" t="s">
        <v>1301</v>
      </c>
    </row>
    <row r="285" spans="1:18" s="108" customFormat="1" ht="12" customHeight="1">
      <c r="A285" s="43"/>
      <c r="B285" s="103" t="s">
        <v>1937</v>
      </c>
      <c r="C285" s="104"/>
      <c r="D285" s="103"/>
      <c r="E285" s="198"/>
      <c r="F285" s="1815"/>
      <c r="G285" s="1815"/>
      <c r="H285" s="1815"/>
      <c r="I285" s="1815"/>
      <c r="J285" s="1815"/>
      <c r="K285" s="1815"/>
      <c r="L285" s="1815"/>
      <c r="M285" s="1815"/>
      <c r="N285" s="99"/>
      <c r="O285" s="1163"/>
      <c r="P285" s="1809"/>
      <c r="Q285" s="478"/>
    </row>
    <row r="286" spans="1:18" s="44" customFormat="1" ht="12" customHeight="1">
      <c r="A286" s="2121"/>
      <c r="B286" s="2122"/>
      <c r="C286" s="2122"/>
      <c r="D286" s="2122"/>
      <c r="E286" s="2122"/>
      <c r="F286" s="2122"/>
      <c r="G286" s="2122"/>
      <c r="H286" s="2122"/>
      <c r="I286" s="2122"/>
      <c r="J286" s="2122"/>
      <c r="K286" s="2122"/>
      <c r="L286" s="2122"/>
      <c r="M286" s="2122"/>
      <c r="N286" s="2122"/>
      <c r="O286" s="2122"/>
      <c r="P286" s="2123"/>
      <c r="Q286" s="502" t="s">
        <v>1301</v>
      </c>
    </row>
    <row r="287" spans="1:18" ht="3" customHeight="1"/>
    <row r="288" spans="1:18" s="44" customFormat="1" ht="15">
      <c r="A288" s="165" t="s">
        <v>1733</v>
      </c>
      <c r="B288" s="111" t="s">
        <v>3605</v>
      </c>
      <c r="C288" s="70"/>
      <c r="E288" s="42"/>
      <c r="G288" s="180" t="s">
        <v>2913</v>
      </c>
      <c r="I288" s="649" t="str">
        <f>'Part I-Project Information'!$H$90</f>
        <v>N/A - 4% Bond</v>
      </c>
      <c r="J288" s="49"/>
      <c r="K288" s="49"/>
      <c r="L288" s="417" t="str">
        <f>IF(OR($O288=$M288,$O288=0,$O288=""),"","* * Check Score! * *")</f>
        <v/>
      </c>
      <c r="M288" s="1809">
        <v>3</v>
      </c>
      <c r="N288" s="108"/>
      <c r="O288" s="47"/>
      <c r="P288" s="628"/>
      <c r="Q288" s="115" t="s">
        <v>456</v>
      </c>
      <c r="R288" s="417"/>
    </row>
    <row r="289" spans="1:18" s="44" customFormat="1" ht="12" customHeight="1">
      <c r="A289" s="149" t="s">
        <v>2058</v>
      </c>
      <c r="B289" s="180" t="s">
        <v>2844</v>
      </c>
      <c r="D289" s="34"/>
      <c r="G289" s="57" t="s">
        <v>2433</v>
      </c>
      <c r="M289" s="77">
        <v>3</v>
      </c>
      <c r="N289" s="527" t="s">
        <v>2058</v>
      </c>
      <c r="O289" s="2978"/>
      <c r="P289" s="630"/>
      <c r="R289" s="417"/>
    </row>
    <row r="290" spans="1:18" s="44" customFormat="1" ht="12" customHeight="1">
      <c r="A290" s="149" t="s">
        <v>2061</v>
      </c>
      <c r="B290" s="180" t="s">
        <v>3606</v>
      </c>
      <c r="D290" s="34"/>
      <c r="F290" s="431"/>
      <c r="G290" s="57" t="s">
        <v>4118</v>
      </c>
      <c r="I290" s="3110" t="s">
        <v>4009</v>
      </c>
      <c r="J290" s="3111"/>
      <c r="K290" s="3111"/>
      <c r="L290" s="3112"/>
      <c r="O290" s="2331" t="s">
        <v>4010</v>
      </c>
      <c r="P290" s="2331"/>
      <c r="R290" s="417"/>
    </row>
    <row r="291" spans="1:18" s="44" customFormat="1" ht="13.5" customHeight="1">
      <c r="A291" s="477" t="s">
        <v>779</v>
      </c>
      <c r="B291" s="848" t="s">
        <v>3998</v>
      </c>
      <c r="C291" s="478"/>
      <c r="D291" s="480"/>
      <c r="E291" s="480"/>
      <c r="F291" s="34"/>
      <c r="L291" s="1222" t="s">
        <v>4005</v>
      </c>
      <c r="O291" s="2332"/>
      <c r="P291" s="2332"/>
      <c r="R291" s="417"/>
    </row>
    <row r="292" spans="1:18" s="108" customFormat="1" ht="10.5" customHeight="1">
      <c r="A292" s="149"/>
      <c r="B292" s="415" t="s">
        <v>2062</v>
      </c>
      <c r="C292" s="37" t="s">
        <v>3999</v>
      </c>
      <c r="D292" s="34"/>
      <c r="F292" s="34"/>
      <c r="H292" s="37"/>
      <c r="L292" s="490" t="s">
        <v>4006</v>
      </c>
      <c r="N292" s="527" t="s">
        <v>779</v>
      </c>
      <c r="O292" s="192" t="s">
        <v>2062</v>
      </c>
      <c r="P292" s="632"/>
      <c r="R292" s="417"/>
    </row>
    <row r="293" spans="1:18" s="108" customFormat="1" ht="10.5" customHeight="1">
      <c r="A293" s="149"/>
      <c r="B293" s="415" t="s">
        <v>2064</v>
      </c>
      <c r="C293" s="37" t="s">
        <v>4000</v>
      </c>
      <c r="D293" s="34"/>
      <c r="F293" s="34"/>
      <c r="H293" s="37"/>
      <c r="L293" s="490" t="s">
        <v>4006</v>
      </c>
      <c r="O293" s="192" t="s">
        <v>2064</v>
      </c>
      <c r="P293" s="633"/>
      <c r="R293" s="417"/>
    </row>
    <row r="294" spans="1:18" s="108" customFormat="1" ht="10.5" customHeight="1">
      <c r="A294" s="149"/>
      <c r="B294" s="415" t="s">
        <v>2622</v>
      </c>
      <c r="C294" s="37" t="s">
        <v>4001</v>
      </c>
      <c r="D294" s="34"/>
      <c r="F294" s="34"/>
      <c r="H294" s="37"/>
      <c r="L294" s="490" t="s">
        <v>4007</v>
      </c>
      <c r="O294" s="192" t="s">
        <v>2622</v>
      </c>
      <c r="P294" s="633"/>
      <c r="R294" s="417"/>
    </row>
    <row r="295" spans="1:18" s="108" customFormat="1" ht="10.5" customHeight="1">
      <c r="A295" s="149"/>
      <c r="B295" s="415" t="s">
        <v>1270</v>
      </c>
      <c r="C295" s="37" t="s">
        <v>4002</v>
      </c>
      <c r="D295" s="34"/>
      <c r="F295" s="34"/>
      <c r="H295" s="37"/>
      <c r="L295" s="490" t="s">
        <v>4007</v>
      </c>
      <c r="O295" s="192" t="s">
        <v>1270</v>
      </c>
      <c r="P295" s="633"/>
      <c r="R295" s="417"/>
    </row>
    <row r="296" spans="1:18" s="108" customFormat="1" ht="10.5" customHeight="1">
      <c r="A296" s="149"/>
      <c r="B296" s="415" t="s">
        <v>1271</v>
      </c>
      <c r="C296" s="37" t="s">
        <v>4003</v>
      </c>
      <c r="D296" s="34"/>
      <c r="F296" s="34"/>
      <c r="H296" s="37"/>
      <c r="L296" s="490" t="s">
        <v>4007</v>
      </c>
      <c r="O296" s="192" t="s">
        <v>1271</v>
      </c>
      <c r="P296" s="633"/>
      <c r="R296" s="417"/>
    </row>
    <row r="297" spans="1:18" s="462" customFormat="1" ht="10.5" customHeight="1" thickBot="1">
      <c r="A297" s="154"/>
      <c r="B297" s="496" t="s">
        <v>1955</v>
      </c>
      <c r="C297" s="435" t="s">
        <v>4004</v>
      </c>
      <c r="D297" s="435"/>
      <c r="E297" s="435"/>
      <c r="F297" s="435"/>
      <c r="G297" s="435"/>
      <c r="H297" s="435"/>
      <c r="I297" s="435"/>
      <c r="J297" s="435"/>
      <c r="K297" s="435"/>
      <c r="L297" s="1223" t="s">
        <v>4007</v>
      </c>
      <c r="O297" s="434" t="s">
        <v>1955</v>
      </c>
      <c r="P297" s="636"/>
      <c r="R297" s="592"/>
    </row>
    <row r="298" spans="1:18" s="44" customFormat="1" ht="12" customHeight="1" thickBot="1">
      <c r="B298" s="103" t="s">
        <v>1937</v>
      </c>
      <c r="C298" s="57"/>
      <c r="D298" s="34"/>
      <c r="F298" s="34"/>
      <c r="H298" s="57"/>
      <c r="L298" s="490" t="s">
        <v>4008</v>
      </c>
      <c r="O298" s="775" t="s">
        <v>3607</v>
      </c>
      <c r="P298" s="1150">
        <f>SUM(P292:P297)</f>
        <v>0</v>
      </c>
      <c r="R298" s="417"/>
    </row>
    <row r="299" spans="1:18" s="44" customFormat="1" ht="24" customHeight="1">
      <c r="A299" s="2121"/>
      <c r="B299" s="2122"/>
      <c r="C299" s="2122"/>
      <c r="D299" s="2122"/>
      <c r="E299" s="2122"/>
      <c r="F299" s="2122"/>
      <c r="G299" s="2122"/>
      <c r="H299" s="2122"/>
      <c r="I299" s="2122"/>
      <c r="J299" s="2122"/>
      <c r="K299" s="2122"/>
      <c r="L299" s="2122"/>
      <c r="M299" s="2122"/>
      <c r="N299" s="2122"/>
      <c r="O299" s="2122"/>
      <c r="P299" s="2123"/>
      <c r="Q299" s="502" t="s">
        <v>1301</v>
      </c>
    </row>
    <row r="300" spans="1:18" s="44" customFormat="1" ht="3" customHeight="1">
      <c r="A300" s="43"/>
      <c r="B300" s="43"/>
      <c r="C300" s="1814"/>
      <c r="D300" s="1814"/>
      <c r="E300" s="1814"/>
      <c r="F300" s="1814"/>
      <c r="G300" s="1814"/>
      <c r="H300" s="1814"/>
      <c r="I300" s="1814"/>
      <c r="J300" s="1814"/>
      <c r="K300" s="1814"/>
      <c r="L300" s="1814"/>
      <c r="M300" s="1814"/>
      <c r="N300" s="79"/>
      <c r="O300" s="75"/>
      <c r="P300" s="1190"/>
    </row>
    <row r="301" spans="1:18" s="44" customFormat="1" ht="15">
      <c r="A301" s="166" t="s">
        <v>1734</v>
      </c>
      <c r="B301" s="119" t="s">
        <v>2826</v>
      </c>
      <c r="C301" s="93"/>
      <c r="D301" s="61"/>
      <c r="E301" s="54"/>
      <c r="J301" s="64"/>
      <c r="M301" s="1809">
        <v>3</v>
      </c>
      <c r="N301" s="6"/>
      <c r="O301" s="68">
        <f>MIN($M301,O302+O307)</f>
        <v>0</v>
      </c>
      <c r="P301" s="81">
        <f>MIN($M301,P302+P307)</f>
        <v>0</v>
      </c>
      <c r="Q301" s="115" t="s">
        <v>456</v>
      </c>
    </row>
    <row r="302" spans="1:18" s="44" customFormat="1" ht="12" customHeight="1">
      <c r="A302" s="149" t="s">
        <v>2058</v>
      </c>
      <c r="B302" s="180" t="s">
        <v>4074</v>
      </c>
      <c r="D302" s="34"/>
      <c r="E302" s="34"/>
      <c r="F302" s="34"/>
      <c r="H302" s="1134" t="s">
        <v>4214</v>
      </c>
      <c r="I302" s="864">
        <f>IF('Part VI-Revenues &amp; Expenses'!$O$62=0,0,L303/'Part VI-Revenues &amp; Expenses'!$O$62)</f>
        <v>0</v>
      </c>
      <c r="K302" s="527" t="s">
        <v>4073</v>
      </c>
      <c r="L302" s="864">
        <f>IF('Part VI-Revenues &amp; Expenses'!$O$58=0,0,'Part VI-Revenues &amp; Expenses'!$K$58/'Part VI-Revenues &amp; Expenses'!$O$58)</f>
        <v>0.98557692307692313</v>
      </c>
      <c r="M302" s="6">
        <v>2</v>
      </c>
      <c r="N302" s="527" t="s">
        <v>2058</v>
      </c>
      <c r="O302" s="1224">
        <f>IF(AND(J303&gt;0,L303&gt;0,I302&lt;=10%,L302&gt;=10%,O303="Agree",O304="Yes",O305="Yes"),$M$302,0)</f>
        <v>0</v>
      </c>
      <c r="P302" s="1224">
        <f>IF(AND(J303&gt;0,L303&gt;0,I302&lt;=10%,L302&gt;=10%,P303="Agree",P304="Yes",P305="Yes"),$M$302,0)</f>
        <v>0</v>
      </c>
      <c r="Q302" s="433"/>
      <c r="R302" s="115"/>
    </row>
    <row r="303" spans="1:18" s="462" customFormat="1" ht="22.5" customHeight="1">
      <c r="A303" s="154"/>
      <c r="B303" s="496" t="s">
        <v>2062</v>
      </c>
      <c r="C303" s="2136" t="s">
        <v>4210</v>
      </c>
      <c r="D303" s="2136"/>
      <c r="E303" s="2136"/>
      <c r="F303" s="2136"/>
      <c r="G303" s="2136"/>
      <c r="H303" s="2136"/>
      <c r="I303" s="1375" t="s">
        <v>4212</v>
      </c>
      <c r="J303" s="3023"/>
      <c r="K303" s="1375" t="s">
        <v>4209</v>
      </c>
      <c r="L303" s="3023"/>
      <c r="M303" s="1376" t="str">
        <f>IF(J303&lt;L303,"Check DCA RA units!","")</f>
        <v/>
      </c>
      <c r="N303" s="434" t="s">
        <v>2062</v>
      </c>
      <c r="O303" s="2976"/>
      <c r="P303" s="635"/>
      <c r="Q303" s="599"/>
      <c r="R303" s="592"/>
    </row>
    <row r="304" spans="1:18" s="491" customFormat="1" ht="11.25" customHeight="1">
      <c r="A304" s="621"/>
      <c r="B304" s="496" t="s">
        <v>2064</v>
      </c>
      <c r="C304" s="2124" t="s">
        <v>3608</v>
      </c>
      <c r="D304" s="2124"/>
      <c r="E304" s="2124"/>
      <c r="F304" s="2124"/>
      <c r="G304" s="2124"/>
      <c r="H304" s="2124"/>
      <c r="I304" s="2124"/>
      <c r="J304" s="2124"/>
      <c r="K304" s="2124"/>
      <c r="L304" s="2124"/>
      <c r="M304" s="2124"/>
      <c r="N304" s="434" t="s">
        <v>2064</v>
      </c>
      <c r="O304" s="2938"/>
      <c r="P304" s="633"/>
    </row>
    <row r="305" spans="1:18" s="491" customFormat="1" ht="11.25" customHeight="1">
      <c r="A305" s="621"/>
      <c r="B305" s="496" t="s">
        <v>2622</v>
      </c>
      <c r="C305" s="2124" t="s">
        <v>4011</v>
      </c>
      <c r="D305" s="2124"/>
      <c r="E305" s="2124"/>
      <c r="F305" s="2124"/>
      <c r="G305" s="2124"/>
      <c r="H305" s="2124"/>
      <c r="I305" s="2124"/>
      <c r="J305" s="2124"/>
      <c r="K305" s="2124"/>
      <c r="L305" s="2124"/>
      <c r="M305" s="2124"/>
      <c r="N305" s="434" t="s">
        <v>2622</v>
      </c>
      <c r="O305" s="2936"/>
      <c r="P305" s="634"/>
    </row>
    <row r="306" spans="1:18" s="491" customFormat="1" ht="3" customHeight="1">
      <c r="B306" s="543"/>
      <c r="C306" s="1819"/>
      <c r="D306" s="1819"/>
      <c r="E306" s="1819"/>
      <c r="F306" s="1819"/>
      <c r="G306" s="1819"/>
      <c r="H306" s="1819"/>
      <c r="M306" s="1819"/>
      <c r="N306" s="1819"/>
      <c r="O306" s="1819"/>
      <c r="P306" s="1819"/>
    </row>
    <row r="307" spans="1:18" s="44" customFormat="1" ht="12" customHeight="1">
      <c r="A307" s="149" t="s">
        <v>2061</v>
      </c>
      <c r="B307" s="180" t="s">
        <v>2827</v>
      </c>
      <c r="D307" s="41"/>
      <c r="G307" s="37"/>
      <c r="M307" s="6">
        <v>3</v>
      </c>
      <c r="N307" s="527" t="s">
        <v>2061</v>
      </c>
      <c r="O307" s="1280">
        <f>IF(AND(O308="Agree",O310="Agree",$M$310&gt;=15%),$M$307,0)</f>
        <v>0</v>
      </c>
      <c r="P307" s="1280">
        <f>IF(AND(P308="Agree",P310="Agree",$M$310&gt;=15%),$M$307,0)</f>
        <v>0</v>
      </c>
      <c r="Q307" s="433"/>
      <c r="R307" s="417"/>
    </row>
    <row r="308" spans="1:18" s="462" customFormat="1" ht="33" customHeight="1">
      <c r="A308" s="154"/>
      <c r="B308" s="496" t="s">
        <v>2062</v>
      </c>
      <c r="C308" s="2136" t="s">
        <v>3716</v>
      </c>
      <c r="D308" s="2136"/>
      <c r="E308" s="2136"/>
      <c r="F308" s="2136"/>
      <c r="G308" s="2136"/>
      <c r="H308" s="2136"/>
      <c r="I308" s="2136"/>
      <c r="J308" s="2136"/>
      <c r="K308" s="2136"/>
      <c r="L308" s="2136"/>
      <c r="M308" s="776"/>
      <c r="N308" s="434" t="s">
        <v>2062</v>
      </c>
      <c r="O308" s="3085"/>
      <c r="P308" s="631"/>
      <c r="Q308" s="599"/>
      <c r="R308" s="592"/>
    </row>
    <row r="309" spans="1:18" s="462" customFormat="1" ht="11.25" customHeight="1">
      <c r="A309" s="154"/>
      <c r="B309" s="496"/>
      <c r="C309" s="542" t="s">
        <v>4092</v>
      </c>
      <c r="D309" s="1820"/>
      <c r="E309" s="1820"/>
      <c r="F309" s="1820"/>
      <c r="G309" s="3113"/>
      <c r="H309" s="3114"/>
      <c r="I309" s="3114"/>
      <c r="J309" s="3115"/>
      <c r="K309" s="1368" t="s">
        <v>4093</v>
      </c>
      <c r="L309" s="3116"/>
      <c r="M309" s="776"/>
      <c r="N309" s="434"/>
      <c r="O309" s="434"/>
      <c r="P309" s="434"/>
      <c r="Q309" s="599"/>
      <c r="R309" s="592"/>
    </row>
    <row r="310" spans="1:18" s="491" customFormat="1" ht="11.25" customHeight="1">
      <c r="A310" s="621"/>
      <c r="B310" s="496" t="s">
        <v>2064</v>
      </c>
      <c r="C310" s="435" t="s">
        <v>3609</v>
      </c>
      <c r="D310" s="435"/>
      <c r="E310" s="435"/>
      <c r="F310" s="435"/>
      <c r="G310" s="435"/>
      <c r="H310" s="435"/>
      <c r="I310" s="435"/>
      <c r="J310" s="435" t="s">
        <v>4091</v>
      </c>
      <c r="K310" s="435"/>
      <c r="L310" s="3117">
        <v>0</v>
      </c>
      <c r="M310" s="1279">
        <f>IF('Part VI-Revenues &amp; Expenses'!$O$62=0,0,L310/'Part VI-Revenues &amp; Expenses'!$O$62)</f>
        <v>0</v>
      </c>
      <c r="N310" s="434" t="s">
        <v>2064</v>
      </c>
      <c r="O310" s="3085"/>
      <c r="P310" s="631"/>
    </row>
    <row r="311" spans="1:18" s="44" customFormat="1" ht="10.5" customHeight="1">
      <c r="B311" s="91" t="s">
        <v>1937</v>
      </c>
      <c r="C311" s="104"/>
      <c r="D311" s="91"/>
      <c r="E311" s="105"/>
      <c r="F311" s="1814"/>
      <c r="G311" s="1814"/>
      <c r="H311" s="1814"/>
      <c r="I311" s="1814"/>
      <c r="J311" s="1814"/>
      <c r="K311" s="1814"/>
      <c r="L311" s="1814"/>
      <c r="M311" s="1814"/>
      <c r="N311" s="79"/>
      <c r="O311" s="75"/>
      <c r="P311" s="1809"/>
      <c r="Q311" s="478"/>
    </row>
    <row r="312" spans="1:18" s="44" customFormat="1" ht="12" customHeight="1">
      <c r="A312" s="2121"/>
      <c r="B312" s="2122"/>
      <c r="C312" s="2122"/>
      <c r="D312" s="2122"/>
      <c r="E312" s="2122"/>
      <c r="F312" s="2122"/>
      <c r="G312" s="2122"/>
      <c r="H312" s="2122"/>
      <c r="I312" s="2122"/>
      <c r="J312" s="2122"/>
      <c r="K312" s="2122"/>
      <c r="L312" s="2122"/>
      <c r="M312" s="2122"/>
      <c r="N312" s="2122"/>
      <c r="O312" s="2122"/>
      <c r="P312" s="2123"/>
      <c r="Q312" s="502" t="s">
        <v>1301</v>
      </c>
    </row>
    <row r="313" spans="1:18" s="44" customFormat="1" ht="3" customHeight="1">
      <c r="A313" s="43"/>
      <c r="B313" s="43"/>
      <c r="C313" s="1814"/>
      <c r="D313" s="1814"/>
      <c r="E313" s="1814"/>
      <c r="F313" s="1814"/>
      <c r="G313" s="1814"/>
      <c r="H313" s="1814"/>
      <c r="I313" s="1814"/>
      <c r="J313" s="1814"/>
      <c r="K313" s="1814"/>
      <c r="L313" s="1814"/>
      <c r="M313" s="1814"/>
      <c r="N313" s="79"/>
      <c r="O313" s="75"/>
      <c r="P313" s="1190"/>
    </row>
    <row r="314" spans="1:18" s="44" customFormat="1" ht="12" customHeight="1">
      <c r="A314" s="165" t="s">
        <v>1735</v>
      </c>
      <c r="B314" s="111" t="s">
        <v>2828</v>
      </c>
      <c r="D314" s="41"/>
      <c r="G314" s="64" t="s">
        <v>3602</v>
      </c>
      <c r="M314" s="1809">
        <v>2</v>
      </c>
      <c r="N314" s="527"/>
      <c r="O314" s="81">
        <f>MIN($M314,O318+O324)</f>
        <v>0</v>
      </c>
      <c r="P314" s="81">
        <f>MIN($M314,P318+P324)</f>
        <v>0</v>
      </c>
      <c r="Q314" s="115" t="s">
        <v>456</v>
      </c>
      <c r="R314" s="417" t="str">
        <f>IF(OR($O318=$M314,$O318=0,$O318=""),"","* * Check Score! * *")</f>
        <v/>
      </c>
    </row>
    <row r="315" spans="1:18" s="462" customFormat="1" ht="3" customHeight="1">
      <c r="B315" s="496"/>
      <c r="F315" s="489"/>
      <c r="G315" s="1219"/>
      <c r="M315" s="463"/>
      <c r="N315" s="463"/>
      <c r="O315" s="463"/>
      <c r="P315" s="463"/>
      <c r="Q315" s="188"/>
    </row>
    <row r="316" spans="1:18" s="462" customFormat="1" ht="11.25" customHeight="1">
      <c r="B316" s="1217" t="s">
        <v>3717</v>
      </c>
      <c r="D316" s="3118" t="s">
        <v>3051</v>
      </c>
      <c r="E316" s="3119"/>
      <c r="F316" s="3119"/>
      <c r="G316" s="3119"/>
      <c r="H316" s="3119"/>
      <c r="I316" s="3120"/>
      <c r="J316" s="435" t="s">
        <v>2962</v>
      </c>
      <c r="L316" s="620">
        <f>'Part III-Sources of Funds'!$I$47</f>
        <v>0</v>
      </c>
      <c r="M316" s="463"/>
      <c r="N316" s="463"/>
      <c r="O316" s="463"/>
      <c r="P316" s="463"/>
      <c r="Q316" s="188"/>
    </row>
    <row r="317" spans="1:18" s="462" customFormat="1" ht="3" customHeight="1">
      <c r="B317" s="496"/>
      <c r="M317" s="463"/>
      <c r="N317" s="463"/>
      <c r="O317" s="463"/>
      <c r="P317" s="463"/>
      <c r="Q317" s="188"/>
    </row>
    <row r="318" spans="1:18" s="462" customFormat="1" ht="11.25" customHeight="1">
      <c r="A318" s="622" t="s">
        <v>2058</v>
      </c>
      <c r="B318" s="141" t="s">
        <v>4119</v>
      </c>
      <c r="C318" s="435"/>
      <c r="D318" s="435"/>
      <c r="E318" s="435"/>
      <c r="F318" s="435"/>
      <c r="G318" s="435"/>
      <c r="H318" s="435"/>
      <c r="I318" s="435"/>
      <c r="J318" s="435" t="s">
        <v>4012</v>
      </c>
      <c r="L318" s="792">
        <f>'Part VI-Revenues &amp; Expenses'!$O$82</f>
        <v>0</v>
      </c>
      <c r="M318" s="463">
        <v>2</v>
      </c>
      <c r="N318" s="174" t="s">
        <v>2058</v>
      </c>
      <c r="O318" s="3023"/>
      <c r="P318" s="1146"/>
      <c r="Q318" s="188" t="s">
        <v>2811</v>
      </c>
    </row>
    <row r="319" spans="1:18" s="462" customFormat="1" ht="11.25" customHeight="1">
      <c r="A319" s="461"/>
      <c r="B319" s="2136" t="s">
        <v>4013</v>
      </c>
      <c r="C319" s="2136"/>
      <c r="D319" s="2136"/>
      <c r="E319" s="2136"/>
      <c r="F319" s="2136"/>
      <c r="G319" s="2136"/>
      <c r="H319" s="2136"/>
      <c r="I319" s="435"/>
      <c r="J319" s="542" t="s">
        <v>2960</v>
      </c>
      <c r="L319" s="793">
        <f>'Part VI-Revenues &amp; Expenses'!$O$62</f>
        <v>208</v>
      </c>
      <c r="M319" s="463"/>
      <c r="N319" s="463"/>
      <c r="O319" s="463"/>
      <c r="P319" s="463"/>
      <c r="Q319" s="188"/>
    </row>
    <row r="320" spans="1:18" s="462" customFormat="1" ht="11.25" customHeight="1">
      <c r="B320" s="2136"/>
      <c r="C320" s="2136"/>
      <c r="D320" s="2136"/>
      <c r="E320" s="2136"/>
      <c r="F320" s="2136"/>
      <c r="G320" s="2136"/>
      <c r="H320" s="2136"/>
      <c r="J320" s="619" t="s">
        <v>2961</v>
      </c>
      <c r="L320" s="828">
        <f>IF(L319=0,0,L318/L319)</f>
        <v>0</v>
      </c>
      <c r="M320" s="463"/>
      <c r="N320" s="463"/>
      <c r="O320" s="463"/>
      <c r="P320" s="463"/>
      <c r="Q320" s="188"/>
    </row>
    <row r="321" spans="1:19" s="462" customFormat="1" ht="3" customHeight="1">
      <c r="B321" s="496"/>
      <c r="F321" s="489"/>
      <c r="G321" s="1219"/>
      <c r="M321" s="463"/>
      <c r="N321" s="463"/>
      <c r="O321" s="463"/>
      <c r="P321" s="463"/>
      <c r="Q321" s="188"/>
    </row>
    <row r="322" spans="1:19" s="44" customFormat="1" ht="36" customHeight="1">
      <c r="A322" s="621" t="s">
        <v>1403</v>
      </c>
      <c r="B322" s="3121" t="s">
        <v>4014</v>
      </c>
      <c r="C322" s="3122"/>
      <c r="D322" s="3122"/>
      <c r="E322" s="3122"/>
      <c r="F322" s="3122"/>
      <c r="G322" s="3122"/>
      <c r="H322" s="3122"/>
      <c r="I322" s="3122"/>
      <c r="J322" s="3122"/>
      <c r="K322" s="3122"/>
      <c r="L322" s="3122"/>
      <c r="M322" s="3122"/>
      <c r="N322" s="3122"/>
      <c r="O322" s="3122"/>
      <c r="P322" s="3123"/>
      <c r="Q322" s="2305" t="s">
        <v>1301</v>
      </c>
      <c r="R322" s="2306"/>
      <c r="S322" s="2306"/>
    </row>
    <row r="323" spans="1:19" s="462" customFormat="1" ht="3" customHeight="1">
      <c r="B323" s="496"/>
      <c r="F323" s="489"/>
      <c r="G323" s="1219"/>
      <c r="M323" s="463"/>
      <c r="N323" s="463"/>
      <c r="O323" s="463"/>
      <c r="P323" s="463"/>
      <c r="Q323" s="188"/>
    </row>
    <row r="324" spans="1:19" s="462" customFormat="1" ht="11.25" customHeight="1">
      <c r="A324" s="622" t="s">
        <v>2061</v>
      </c>
      <c r="B324" s="1326" t="s">
        <v>3545</v>
      </c>
      <c r="C324" s="150"/>
      <c r="D324" s="1162"/>
      <c r="H324" s="435"/>
      <c r="J324" s="435" t="s">
        <v>3611</v>
      </c>
      <c r="L324" s="792">
        <f>'Part VI-Revenues &amp; Expenses'!$O$84</f>
        <v>0</v>
      </c>
      <c r="M324" s="463">
        <v>1</v>
      </c>
      <c r="N324" s="174" t="s">
        <v>2061</v>
      </c>
      <c r="O324" s="3023"/>
      <c r="P324" s="1146"/>
      <c r="Q324" s="188" t="s">
        <v>2811</v>
      </c>
    </row>
    <row r="325" spans="1:19" s="462" customFormat="1" ht="11.25" customHeight="1">
      <c r="A325" s="622"/>
      <c r="B325" s="2099" t="s">
        <v>4120</v>
      </c>
      <c r="C325" s="2099"/>
      <c r="D325" s="2099"/>
      <c r="E325" s="2099"/>
      <c r="F325" s="2099"/>
      <c r="G325" s="2099"/>
      <c r="H325" s="2099"/>
      <c r="I325" s="2099"/>
      <c r="J325" s="542" t="s">
        <v>2960</v>
      </c>
      <c r="L325" s="793">
        <f>'Part VI-Revenues &amp; Expenses'!$O$62</f>
        <v>208</v>
      </c>
      <c r="M325" s="463"/>
      <c r="N325" s="463"/>
      <c r="O325" s="463"/>
      <c r="P325" s="463"/>
      <c r="Q325" s="188"/>
    </row>
    <row r="326" spans="1:19" s="462" customFormat="1" ht="11.25" customHeight="1">
      <c r="A326" s="622"/>
      <c r="B326" s="2099"/>
      <c r="C326" s="2099"/>
      <c r="D326" s="2099"/>
      <c r="E326" s="2099"/>
      <c r="F326" s="2099"/>
      <c r="G326" s="2099"/>
      <c r="H326" s="2099"/>
      <c r="I326" s="2099"/>
      <c r="J326" s="619" t="s">
        <v>2961</v>
      </c>
      <c r="L326" s="828">
        <f>IF(L325=0,0,L324/L325)</f>
        <v>0</v>
      </c>
      <c r="M326" s="463"/>
      <c r="N326" s="463"/>
      <c r="O326" s="463"/>
      <c r="P326" s="463"/>
      <c r="Q326" s="188"/>
    </row>
    <row r="327" spans="1:19" s="44" customFormat="1" ht="10.5" customHeight="1">
      <c r="B327" s="91" t="s">
        <v>1937</v>
      </c>
      <c r="C327" s="104"/>
      <c r="D327" s="91"/>
      <c r="E327" s="105"/>
      <c r="F327" s="1814"/>
      <c r="G327" s="1814"/>
      <c r="H327" s="1814"/>
      <c r="I327" s="1814"/>
      <c r="J327" s="1814"/>
      <c r="K327" s="1814"/>
      <c r="L327" s="1814"/>
      <c r="M327" s="1814"/>
      <c r="N327" s="79"/>
      <c r="O327" s="75"/>
      <c r="P327" s="1809"/>
      <c r="Q327" s="478"/>
    </row>
    <row r="328" spans="1:19" s="44" customFormat="1" ht="12" customHeight="1">
      <c r="A328" s="2121"/>
      <c r="B328" s="2122"/>
      <c r="C328" s="2122"/>
      <c r="D328" s="2122"/>
      <c r="E328" s="2122"/>
      <c r="F328" s="2122"/>
      <c r="G328" s="2122"/>
      <c r="H328" s="2122"/>
      <c r="I328" s="2122"/>
      <c r="J328" s="2122"/>
      <c r="K328" s="2122"/>
      <c r="L328" s="2122"/>
      <c r="M328" s="2122"/>
      <c r="N328" s="2122"/>
      <c r="O328" s="2122"/>
      <c r="P328" s="2123"/>
      <c r="Q328" s="502" t="s">
        <v>1301</v>
      </c>
    </row>
    <row r="329" spans="1:19" s="44" customFormat="1" ht="3" customHeight="1">
      <c r="A329" s="43"/>
      <c r="B329" s="43"/>
      <c r="C329" s="1814"/>
      <c r="D329" s="1814"/>
      <c r="E329" s="1814"/>
      <c r="F329" s="1814"/>
      <c r="G329" s="1814"/>
      <c r="H329" s="1814"/>
      <c r="I329" s="1814"/>
      <c r="J329" s="1814"/>
      <c r="K329" s="1814"/>
      <c r="L329" s="1814"/>
      <c r="M329" s="1814"/>
      <c r="N329" s="79"/>
      <c r="O329" s="75"/>
      <c r="P329" s="1190"/>
    </row>
    <row r="330" spans="1:19" s="44" customFormat="1" ht="12.75" customHeight="1">
      <c r="A330" s="166" t="s">
        <v>1736</v>
      </c>
      <c r="B330" s="112" t="s">
        <v>2721</v>
      </c>
      <c r="C330" s="56"/>
      <c r="D330" s="124"/>
      <c r="E330" s="124"/>
      <c r="I330" s="1806" t="s">
        <v>3023</v>
      </c>
      <c r="J330" s="42"/>
      <c r="K330" s="42"/>
      <c r="M330" s="1813">
        <v>5</v>
      </c>
      <c r="P330" s="638"/>
      <c r="Q330" s="115" t="s">
        <v>456</v>
      </c>
    </row>
    <row r="331" spans="1:19" s="44" customFormat="1" ht="1.5" customHeight="1">
      <c r="A331" s="166"/>
      <c r="M331" s="606"/>
      <c r="Q331" s="115"/>
    </row>
    <row r="332" spans="1:19" s="44" customFormat="1" ht="12" customHeight="1">
      <c r="A332" s="166"/>
      <c r="B332" s="2222" t="s">
        <v>4121</v>
      </c>
      <c r="C332" s="2222"/>
      <c r="D332" s="2309">
        <f ca="1">IF('Part VI-Revenues &amp; Expenses'!$O$62=0,0,'Part IV-Uses of Funds'!$J$172/'Part VI-Revenues &amp; Expenses'!$O$62)</f>
        <v>4259.0922222637937</v>
      </c>
      <c r="E332" s="2309"/>
      <c r="F332" s="116" t="s">
        <v>4122</v>
      </c>
      <c r="G332" s="1327"/>
      <c r="H332" s="1328">
        <f>IF('Part VI-Revenues &amp; Expenses'!$O$62=0,0,('Part VI-Revenues &amp; Expenses'!$O$77+'Part VI-Revenues &amp; Expenses'!$O$80+'Part VI-Revenues &amp; Expenses'!$O$84)/'Part VI-Revenues &amp; Expenses'!$O$62)</f>
        <v>1</v>
      </c>
      <c r="I332" s="1329" t="s">
        <v>4123</v>
      </c>
      <c r="J332" s="42"/>
      <c r="K332" s="1226"/>
      <c r="L332" s="1227"/>
      <c r="M332" s="77">
        <v>20</v>
      </c>
      <c r="N332" s="6"/>
      <c r="O332" s="1280">
        <f>MIN($M332,(SUM(O333:O355)))</f>
        <v>0</v>
      </c>
      <c r="P332" s="1280">
        <f>MIN($M332,(SUM(P333:P355)))</f>
        <v>0</v>
      </c>
      <c r="Q332" s="115"/>
    </row>
    <row r="333" spans="1:19" s="44" customFormat="1" ht="10.5" customHeight="1">
      <c r="A333" s="604" t="s">
        <v>2058</v>
      </c>
      <c r="B333" s="1229" t="s">
        <v>2062</v>
      </c>
      <c r="C333" s="1172" t="s">
        <v>4015</v>
      </c>
      <c r="E333" s="54"/>
      <c r="F333" s="1172"/>
      <c r="G333" s="1172"/>
      <c r="H333" s="56"/>
      <c r="I333" s="1173"/>
      <c r="J333" s="1173"/>
      <c r="M333" s="603">
        <v>6</v>
      </c>
      <c r="N333" s="618"/>
      <c r="O333" s="3124"/>
      <c r="P333" s="2261"/>
      <c r="Q333" s="653" t="s">
        <v>2811</v>
      </c>
    </row>
    <row r="334" spans="1:19" s="44" customFormat="1" ht="10.5" customHeight="1">
      <c r="A334" s="778"/>
      <c r="B334" s="1218"/>
      <c r="C334" s="1225" t="s">
        <v>3881</v>
      </c>
      <c r="D334" s="3125"/>
      <c r="E334" s="54"/>
      <c r="F334" s="1225" t="s">
        <v>3882</v>
      </c>
      <c r="G334" s="3126"/>
      <c r="H334" s="56"/>
      <c r="I334" s="467" t="s">
        <v>4016</v>
      </c>
      <c r="J334" s="467"/>
      <c r="K334" s="3127"/>
      <c r="L334" s="3128"/>
      <c r="M334" s="613"/>
      <c r="N334" s="1230"/>
      <c r="O334" s="3129"/>
      <c r="P334" s="2330"/>
      <c r="Q334" s="653"/>
    </row>
    <row r="335" spans="1:19" s="44" customFormat="1" ht="10.5" customHeight="1">
      <c r="A335" s="778" t="s">
        <v>1403</v>
      </c>
      <c r="B335" s="1218" t="s">
        <v>2064</v>
      </c>
      <c r="C335" s="54" t="s">
        <v>4017</v>
      </c>
      <c r="E335" s="54"/>
      <c r="F335" s="54"/>
      <c r="G335" s="1172"/>
      <c r="H335" s="56"/>
      <c r="I335" s="56"/>
      <c r="J335" s="56"/>
      <c r="M335" s="613">
        <v>2</v>
      </c>
      <c r="N335" s="1230"/>
      <c r="O335" s="3129"/>
      <c r="P335" s="2330"/>
      <c r="Q335" s="653"/>
    </row>
    <row r="336" spans="1:19" s="44" customFormat="1" ht="10.5" customHeight="1">
      <c r="A336" s="778"/>
      <c r="C336" s="1225" t="s">
        <v>3881</v>
      </c>
      <c r="D336" s="3125"/>
      <c r="E336" s="54"/>
      <c r="F336" s="1225" t="s">
        <v>3882</v>
      </c>
      <c r="G336" s="3126"/>
      <c r="H336" s="56"/>
      <c r="I336" s="467" t="s">
        <v>4016</v>
      </c>
      <c r="J336" s="467"/>
      <c r="K336" s="3127"/>
      <c r="L336" s="3128"/>
      <c r="M336" s="613"/>
      <c r="N336" s="124"/>
      <c r="O336" s="3129"/>
      <c r="P336" s="2330"/>
      <c r="Q336" s="653"/>
    </row>
    <row r="337" spans="1:18" s="462" customFormat="1" ht="34.5" customHeight="1">
      <c r="A337" s="778" t="s">
        <v>1403</v>
      </c>
      <c r="B337" s="1228" t="s">
        <v>2622</v>
      </c>
      <c r="C337" s="2133" t="s">
        <v>3612</v>
      </c>
      <c r="D337" s="2133"/>
      <c r="E337" s="2133"/>
      <c r="F337" s="2133"/>
      <c r="G337" s="2133"/>
      <c r="H337" s="2133"/>
      <c r="I337" s="2133"/>
      <c r="J337" s="2133"/>
      <c r="K337" s="2133"/>
      <c r="L337" s="2133"/>
      <c r="M337" s="591">
        <v>5</v>
      </c>
      <c r="N337" s="601"/>
      <c r="O337" s="3130"/>
      <c r="P337" s="2262"/>
      <c r="Q337" s="653"/>
    </row>
    <row r="338" spans="1:18" s="462" customFormat="1" ht="12.75" customHeight="1">
      <c r="A338" s="778"/>
      <c r="B338" s="154"/>
      <c r="C338" s="1176" t="s">
        <v>3869</v>
      </c>
      <c r="D338" s="1817"/>
      <c r="G338" s="3131"/>
      <c r="H338" s="1817"/>
      <c r="I338" s="1176" t="s">
        <v>3868</v>
      </c>
      <c r="K338" s="3131"/>
      <c r="M338" s="1817"/>
      <c r="N338" s="1817"/>
      <c r="O338" s="1817"/>
      <c r="P338" s="1817"/>
      <c r="Q338" s="1817"/>
      <c r="R338" s="1817"/>
    </row>
    <row r="339" spans="1:18" s="462" customFormat="1" ht="45" customHeight="1">
      <c r="A339" s="602" t="s">
        <v>2061</v>
      </c>
      <c r="B339" s="1281"/>
      <c r="C339" s="2310" t="s">
        <v>4018</v>
      </c>
      <c r="D339" s="2310"/>
      <c r="E339" s="2310"/>
      <c r="F339" s="2310"/>
      <c r="G339" s="2310"/>
      <c r="H339" s="2310"/>
      <c r="I339" s="2310"/>
      <c r="J339" s="2310"/>
      <c r="K339" s="2310"/>
      <c r="L339" s="2310"/>
      <c r="M339" s="603">
        <v>2</v>
      </c>
      <c r="N339" s="617"/>
      <c r="O339" s="3132"/>
      <c r="P339" s="1216"/>
      <c r="Q339" s="777" t="s">
        <v>2811</v>
      </c>
    </row>
    <row r="340" spans="1:18" s="462" customFormat="1" ht="11.25" customHeight="1">
      <c r="A340" s="1245"/>
      <c r="B340" s="1282"/>
      <c r="C340" s="1283" t="s">
        <v>4094</v>
      </c>
      <c r="D340" s="1828"/>
      <c r="E340" s="1828"/>
      <c r="F340" s="3133"/>
      <c r="G340" s="3134"/>
      <c r="H340" s="3134"/>
      <c r="I340" s="3135"/>
      <c r="J340" s="2230" t="s">
        <v>4093</v>
      </c>
      <c r="K340" s="2231"/>
      <c r="L340" s="3136"/>
      <c r="M340" s="1247"/>
      <c r="N340" s="1284"/>
      <c r="O340" s="434"/>
      <c r="P340" s="434"/>
      <c r="Q340" s="599"/>
      <c r="R340" s="592"/>
    </row>
    <row r="341" spans="1:18" s="462" customFormat="1" ht="12" customHeight="1">
      <c r="A341" s="781" t="s">
        <v>779</v>
      </c>
      <c r="C341" s="2099" t="s">
        <v>4019</v>
      </c>
      <c r="D341" s="2099"/>
      <c r="E341" s="2099"/>
      <c r="F341" s="2099"/>
      <c r="G341" s="2099"/>
      <c r="H341" s="2099"/>
      <c r="I341" s="2099"/>
      <c r="J341" s="2099" t="s">
        <v>4021</v>
      </c>
      <c r="K341" s="2099"/>
      <c r="L341" s="1236" t="str">
        <f>'Part I-Project Information'!$H$90</f>
        <v>N/A - 4% Bond</v>
      </c>
      <c r="M341" s="613">
        <v>3</v>
      </c>
      <c r="N341" s="790"/>
      <c r="O341" s="3137"/>
      <c r="P341" s="2307"/>
      <c r="Q341" s="188" t="s">
        <v>2811</v>
      </c>
    </row>
    <row r="342" spans="1:18" s="462" customFormat="1" ht="12" customHeight="1">
      <c r="A342" s="781"/>
      <c r="C342" s="2099"/>
      <c r="D342" s="2099"/>
      <c r="E342" s="2099"/>
      <c r="F342" s="2099"/>
      <c r="G342" s="2099"/>
      <c r="H342" s="2099"/>
      <c r="I342" s="2099"/>
      <c r="J342" s="2099" t="s">
        <v>4022</v>
      </c>
      <c r="K342" s="2099"/>
      <c r="L342" s="1235">
        <f>$O$113</f>
        <v>0</v>
      </c>
      <c r="M342" s="613"/>
      <c r="N342" s="790"/>
      <c r="O342" s="3138"/>
      <c r="P342" s="2308"/>
      <c r="Q342" s="188"/>
    </row>
    <row r="343" spans="1:18" s="462" customFormat="1" ht="24" customHeight="1">
      <c r="A343" s="1231" t="s">
        <v>2193</v>
      </c>
      <c r="B343" s="1232"/>
      <c r="C343" s="2226" t="s">
        <v>4020</v>
      </c>
      <c r="D343" s="2226"/>
      <c r="E343" s="2226"/>
      <c r="F343" s="2226"/>
      <c r="G343" s="2226"/>
      <c r="H343" s="2226"/>
      <c r="I343" s="1237"/>
      <c r="J343" s="2226" t="s">
        <v>4023</v>
      </c>
      <c r="K343" s="2226"/>
      <c r="L343" s="1238">
        <f>$O$129</f>
        <v>0</v>
      </c>
      <c r="M343" s="1233">
        <v>3</v>
      </c>
      <c r="N343" s="1234"/>
      <c r="O343" s="3139"/>
      <c r="P343" s="1826"/>
      <c r="Q343" s="188" t="s">
        <v>2811</v>
      </c>
    </row>
    <row r="344" spans="1:18" s="44" customFormat="1" ht="11.25" customHeight="1">
      <c r="A344" s="781" t="s">
        <v>1801</v>
      </c>
      <c r="B344" s="1229" t="s">
        <v>2062</v>
      </c>
      <c r="C344" s="2133" t="s">
        <v>3705</v>
      </c>
      <c r="D344" s="2133"/>
      <c r="E344" s="2133"/>
      <c r="F344" s="2133"/>
      <c r="G344" s="2133"/>
      <c r="H344" s="2133"/>
      <c r="I344" s="2133"/>
      <c r="J344" s="2133"/>
      <c r="K344" s="2133"/>
      <c r="L344" s="2133"/>
      <c r="M344" s="613">
        <v>2</v>
      </c>
      <c r="N344" s="124"/>
      <c r="O344" s="3124"/>
      <c r="P344" s="2261"/>
      <c r="Q344" s="188" t="s">
        <v>2811</v>
      </c>
    </row>
    <row r="345" spans="1:18" s="44" customFormat="1" ht="11.25" customHeight="1">
      <c r="A345" s="778" t="s">
        <v>1403</v>
      </c>
      <c r="B345" s="1218" t="s">
        <v>2064</v>
      </c>
      <c r="C345" s="2302" t="s">
        <v>3704</v>
      </c>
      <c r="D345" s="2302"/>
      <c r="E345" s="2302"/>
      <c r="F345" s="2302"/>
      <c r="G345" s="2302"/>
      <c r="H345" s="2302"/>
      <c r="I345" s="2302"/>
      <c r="J345" s="2302"/>
      <c r="K345" s="2302"/>
      <c r="L345" s="2302"/>
      <c r="M345" s="615">
        <v>1</v>
      </c>
      <c r="N345" s="124"/>
      <c r="O345" s="3130"/>
      <c r="P345" s="2262"/>
      <c r="Q345" s="106"/>
    </row>
    <row r="346" spans="1:18" s="44" customFormat="1" ht="11.25" customHeight="1">
      <c r="B346" s="778"/>
      <c r="C346" s="1171" t="s">
        <v>3879</v>
      </c>
      <c r="D346" s="1171"/>
      <c r="E346" s="1171"/>
      <c r="F346" s="1830" t="s">
        <v>3872</v>
      </c>
      <c r="G346" s="1830" t="s">
        <v>3873</v>
      </c>
      <c r="H346" s="1830" t="s">
        <v>3874</v>
      </c>
      <c r="I346" s="1830" t="s">
        <v>3875</v>
      </c>
      <c r="J346" s="1830" t="s">
        <v>3876</v>
      </c>
      <c r="K346" s="1830" t="s">
        <v>3877</v>
      </c>
      <c r="L346" s="1830" t="s">
        <v>3878</v>
      </c>
      <c r="M346" s="1829"/>
      <c r="N346" s="1829"/>
      <c r="O346" s="1829"/>
      <c r="P346" s="1829"/>
      <c r="Q346" s="106"/>
    </row>
    <row r="347" spans="1:18" s="44" customFormat="1" ht="11.25" customHeight="1">
      <c r="A347" s="1227"/>
      <c r="B347" s="778"/>
      <c r="C347" s="2301" t="s">
        <v>3880</v>
      </c>
      <c r="D347" s="2301"/>
      <c r="E347" s="2301"/>
      <c r="F347" s="3140"/>
      <c r="G347" s="3140"/>
      <c r="H347" s="3140"/>
      <c r="I347" s="3140"/>
      <c r="J347" s="3140"/>
      <c r="K347" s="3140"/>
      <c r="L347" s="1341" t="str">
        <f>IF(OR(F347=0,G347=0,H347=0,I347=0,J347=0,K347=0),"Missing Rent Roll",AVERAGE(F347,G347,H347,I347,J347,K347))</f>
        <v>Missing Rent Roll</v>
      </c>
      <c r="M347" s="1829"/>
      <c r="N347" s="1829"/>
      <c r="O347" s="1829"/>
      <c r="P347" s="1829"/>
      <c r="Q347" s="106"/>
    </row>
    <row r="348" spans="1:18" s="462" customFormat="1" ht="22.5" customHeight="1">
      <c r="A348" s="602" t="s">
        <v>1802</v>
      </c>
      <c r="B348" s="1239" t="s">
        <v>2062</v>
      </c>
      <c r="C348" s="2271" t="s">
        <v>3613</v>
      </c>
      <c r="D348" s="2271"/>
      <c r="E348" s="2271"/>
      <c r="F348" s="2271"/>
      <c r="G348" s="2271"/>
      <c r="H348" s="2271"/>
      <c r="I348" s="2271"/>
      <c r="K348" s="2298" t="s">
        <v>4124</v>
      </c>
      <c r="L348" s="2298"/>
      <c r="M348" s="603">
        <v>2</v>
      </c>
      <c r="N348" s="617"/>
      <c r="O348" s="3124"/>
      <c r="P348" s="2261"/>
      <c r="Q348" s="188" t="s">
        <v>2811</v>
      </c>
    </row>
    <row r="349" spans="1:18" s="462" customFormat="1" ht="21.75" customHeight="1">
      <c r="A349" s="778" t="s">
        <v>1403</v>
      </c>
      <c r="B349" s="1240" t="s">
        <v>2064</v>
      </c>
      <c r="C349" s="2272" t="s">
        <v>3614</v>
      </c>
      <c r="D349" s="2272"/>
      <c r="E349" s="2272"/>
      <c r="F349" s="2272"/>
      <c r="G349" s="2272"/>
      <c r="H349" s="2272"/>
      <c r="I349" s="2272"/>
      <c r="J349" s="1221"/>
      <c r="K349" s="3141"/>
      <c r="L349" s="3142"/>
      <c r="M349" s="613">
        <v>1</v>
      </c>
      <c r="N349" s="614"/>
      <c r="O349" s="3130"/>
      <c r="P349" s="2262"/>
      <c r="Q349" s="188"/>
    </row>
    <row r="350" spans="1:18" s="108" customFormat="1" ht="11.25" customHeight="1">
      <c r="A350" s="604" t="s">
        <v>2021</v>
      </c>
      <c r="C350" s="2221" t="s">
        <v>3615</v>
      </c>
      <c r="D350" s="2221"/>
      <c r="E350" s="2221"/>
      <c r="F350" s="2221"/>
      <c r="G350" s="2221"/>
      <c r="H350" s="2221"/>
      <c r="I350" s="2221"/>
      <c r="J350" s="2221"/>
      <c r="K350" s="2221"/>
      <c r="L350" s="2221"/>
      <c r="M350" s="1242">
        <v>2</v>
      </c>
      <c r="N350" s="1243"/>
      <c r="O350" s="3143"/>
      <c r="P350" s="1146"/>
      <c r="Q350" s="188" t="s">
        <v>2811</v>
      </c>
    </row>
    <row r="351" spans="1:18" s="44" customFormat="1" ht="11.25" customHeight="1">
      <c r="A351" s="196"/>
      <c r="C351" s="1220" t="s">
        <v>4024</v>
      </c>
      <c r="D351" s="1829"/>
      <c r="E351" s="2223">
        <f>'Part IV-Uses of Funds'!$B$44</f>
        <v>15521357.279999999</v>
      </c>
      <c r="F351" s="2223"/>
      <c r="G351" s="2224" t="s">
        <v>4025</v>
      </c>
      <c r="H351" s="2224"/>
      <c r="I351" s="1835">
        <f ca="1">'Part IV-Uses of Funds'!$G$131</f>
        <v>25231313.324578471</v>
      </c>
      <c r="J351" s="2270" t="s">
        <v>4026</v>
      </c>
      <c r="K351" s="2270"/>
      <c r="L351" s="1340">
        <f ca="1">IF(I351=0, 0,E351/I351)</f>
        <v>0.61516248006322549</v>
      </c>
      <c r="M351" s="847"/>
      <c r="N351" s="847"/>
      <c r="O351" s="847"/>
      <c r="P351" s="847"/>
      <c r="Q351" s="188"/>
    </row>
    <row r="352" spans="1:18" s="462" customFormat="1" ht="22.5" customHeight="1">
      <c r="A352" s="1231" t="s">
        <v>3560</v>
      </c>
      <c r="B352" s="1232"/>
      <c r="C352" s="2220" t="s">
        <v>3616</v>
      </c>
      <c r="D352" s="2220"/>
      <c r="E352" s="2220"/>
      <c r="F352" s="2220"/>
      <c r="G352" s="2220"/>
      <c r="H352" s="2220"/>
      <c r="I352" s="2220"/>
      <c r="J352" s="2220"/>
      <c r="K352" s="2220"/>
      <c r="L352" s="2220"/>
      <c r="M352" s="1241">
        <v>2</v>
      </c>
      <c r="N352" s="1234"/>
      <c r="O352" s="3132"/>
      <c r="P352" s="1216"/>
      <c r="Q352" s="777" t="s">
        <v>2811</v>
      </c>
    </row>
    <row r="353" spans="1:18" s="462" customFormat="1" ht="11.25" customHeight="1">
      <c r="A353" s="781" t="s">
        <v>640</v>
      </c>
      <c r="C353" s="2133" t="s">
        <v>3706</v>
      </c>
      <c r="D353" s="2133"/>
      <c r="E353" s="2133"/>
      <c r="F353" s="2133"/>
      <c r="G353" s="2133"/>
      <c r="H353" s="2133"/>
      <c r="I353" s="2133"/>
      <c r="J353" s="2133"/>
      <c r="K353" s="2133"/>
      <c r="L353" s="2133"/>
      <c r="M353" s="791">
        <v>2</v>
      </c>
      <c r="N353" s="790"/>
      <c r="O353" s="3144"/>
      <c r="P353" s="1825"/>
      <c r="Q353" s="777" t="s">
        <v>2811</v>
      </c>
    </row>
    <row r="354" spans="1:18" s="462" customFormat="1" ht="11.25" customHeight="1">
      <c r="A354" s="1231" t="s">
        <v>3561</v>
      </c>
      <c r="B354" s="1232"/>
      <c r="C354" s="2226" t="s">
        <v>3617</v>
      </c>
      <c r="D354" s="2226"/>
      <c r="E354" s="2226"/>
      <c r="F354" s="2226"/>
      <c r="G354" s="2226"/>
      <c r="H354" s="2226"/>
      <c r="I354" s="2226"/>
      <c r="J354" s="2226"/>
      <c r="K354" s="1244"/>
      <c r="L354" s="1244"/>
      <c r="M354" s="1241">
        <v>1</v>
      </c>
      <c r="N354" s="1234"/>
      <c r="O354" s="3132"/>
      <c r="P354" s="1216"/>
      <c r="Q354" s="777" t="s">
        <v>2811</v>
      </c>
    </row>
    <row r="355" spans="1:18" s="462" customFormat="1" ht="11.25" customHeight="1">
      <c r="A355" s="602" t="s">
        <v>4027</v>
      </c>
      <c r="B355" s="1162"/>
      <c r="C355" s="2271" t="s">
        <v>4028</v>
      </c>
      <c r="D355" s="2271"/>
      <c r="E355" s="2271"/>
      <c r="F355" s="2271"/>
      <c r="G355" s="2271"/>
      <c r="H355" s="2271"/>
      <c r="I355" s="2271"/>
      <c r="J355" s="2271"/>
      <c r="K355" s="1221" t="s">
        <v>4029</v>
      </c>
      <c r="L355" s="1339">
        <f>'Part IV-Uses of Funds'!$G$127</f>
        <v>238990</v>
      </c>
      <c r="M355" s="791">
        <v>1</v>
      </c>
      <c r="N355" s="791"/>
      <c r="O355" s="3132"/>
      <c r="P355" s="1216"/>
      <c r="Q355" s="777" t="s">
        <v>2811</v>
      </c>
    </row>
    <row r="356" spans="1:18" s="462" customFormat="1" ht="11.25" customHeight="1">
      <c r="A356" s="1245"/>
      <c r="B356" s="1246"/>
      <c r="C356" s="2272"/>
      <c r="D356" s="2272"/>
      <c r="E356" s="2272"/>
      <c r="F356" s="2272"/>
      <c r="G356" s="2272"/>
      <c r="H356" s="2272"/>
      <c r="I356" s="2272"/>
      <c r="J356" s="2272"/>
      <c r="K356" s="1247" t="s">
        <v>4030</v>
      </c>
      <c r="L356" s="1835">
        <f>'Part IV-Uses of Funds'!$G$20</f>
        <v>0</v>
      </c>
      <c r="M356" s="1248"/>
      <c r="N356" s="1248"/>
      <c r="O356" s="1248"/>
      <c r="P356" s="1248"/>
      <c r="Q356" s="777"/>
    </row>
    <row r="357" spans="1:18" s="44" customFormat="1" ht="10.5" customHeight="1">
      <c r="A357" s="43"/>
      <c r="B357" s="50" t="s">
        <v>267</v>
      </c>
      <c r="C357" s="43"/>
      <c r="D357" s="49"/>
      <c r="E357" s="49"/>
      <c r="F357" s="49"/>
      <c r="G357" s="49"/>
      <c r="H357" s="37"/>
      <c r="I357" s="37"/>
      <c r="J357" s="37"/>
      <c r="K357" s="37"/>
      <c r="M357" s="47"/>
      <c r="N357" s="65"/>
      <c r="O357" s="3"/>
      <c r="P357" s="1813"/>
    </row>
    <row r="358" spans="1:18" s="44" customFormat="1" ht="24.75" customHeight="1">
      <c r="A358" s="2900"/>
      <c r="B358" s="2901"/>
      <c r="C358" s="2901"/>
      <c r="D358" s="2901"/>
      <c r="E358" s="2901"/>
      <c r="F358" s="2901"/>
      <c r="G358" s="2901"/>
      <c r="H358" s="2901"/>
      <c r="I358" s="2901"/>
      <c r="J358" s="2901"/>
      <c r="K358" s="2901"/>
      <c r="L358" s="2901"/>
      <c r="M358" s="2901"/>
      <c r="N358" s="2901"/>
      <c r="O358" s="2901"/>
      <c r="P358" s="2902"/>
      <c r="Q358" s="502" t="s">
        <v>1301</v>
      </c>
    </row>
    <row r="359" spans="1:18" s="44" customFormat="1" ht="10.5" customHeight="1">
      <c r="A359" s="43"/>
      <c r="B359" s="91" t="s">
        <v>1937</v>
      </c>
      <c r="C359" s="104"/>
      <c r="D359" s="91"/>
      <c r="E359" s="105"/>
      <c r="F359" s="1814"/>
      <c r="G359" s="1814"/>
      <c r="H359" s="1814"/>
      <c r="I359" s="1814"/>
      <c r="J359" s="1814"/>
      <c r="K359" s="1814"/>
      <c r="L359" s="1814"/>
      <c r="M359" s="1814"/>
      <c r="N359" s="79"/>
      <c r="O359" s="75"/>
      <c r="P359" s="1809"/>
      <c r="Q359" s="478"/>
    </row>
    <row r="360" spans="1:18" s="44" customFormat="1" ht="24.75" customHeight="1">
      <c r="A360" s="2121"/>
      <c r="B360" s="2122"/>
      <c r="C360" s="2122"/>
      <c r="D360" s="2122"/>
      <c r="E360" s="2122"/>
      <c r="F360" s="2122"/>
      <c r="G360" s="2122"/>
      <c r="H360" s="2122"/>
      <c r="I360" s="2122"/>
      <c r="J360" s="2122"/>
      <c r="K360" s="2122"/>
      <c r="L360" s="2122"/>
      <c r="M360" s="2122"/>
      <c r="N360" s="2122"/>
      <c r="O360" s="2122"/>
      <c r="P360" s="2123"/>
      <c r="Q360" s="502" t="s">
        <v>1301</v>
      </c>
    </row>
    <row r="361" spans="1:18" s="44" customFormat="1" ht="3" customHeight="1">
      <c r="A361" s="43"/>
      <c r="C361" s="1814"/>
      <c r="D361" s="1814"/>
      <c r="E361" s="1814"/>
      <c r="F361" s="1814"/>
      <c r="G361" s="1814"/>
      <c r="H361" s="1814"/>
      <c r="I361" s="1814"/>
      <c r="J361" s="1814"/>
      <c r="K361" s="1814"/>
      <c r="L361" s="1814"/>
      <c r="M361" s="1814"/>
      <c r="N361" s="79"/>
      <c r="O361" s="75"/>
      <c r="P361" s="1190"/>
    </row>
    <row r="362" spans="1:18" s="44" customFormat="1" ht="12" customHeight="1">
      <c r="A362" s="166" t="s">
        <v>2963</v>
      </c>
      <c r="B362" s="112" t="s">
        <v>3628</v>
      </c>
      <c r="C362" s="56"/>
      <c r="D362" s="124"/>
      <c r="E362" s="124"/>
      <c r="F362" s="42"/>
      <c r="G362" s="42"/>
      <c r="H362" s="42"/>
      <c r="I362" s="42"/>
      <c r="J362" s="42"/>
      <c r="K362" s="42"/>
      <c r="L362" s="42"/>
      <c r="M362" s="1190">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2232" t="s">
        <v>3630</v>
      </c>
      <c r="C363" s="2232"/>
      <c r="D363" s="2232"/>
      <c r="E363" s="2232"/>
      <c r="F363" s="2232"/>
      <c r="G363" s="2232"/>
      <c r="H363" s="2232"/>
      <c r="I363" s="2232"/>
      <c r="J363" s="2232"/>
      <c r="K363" s="2232"/>
      <c r="L363" s="2232"/>
      <c r="M363" s="2232"/>
      <c r="N363" s="2232"/>
      <c r="O363" s="2896"/>
      <c r="P363" s="629"/>
      <c r="R363" s="417"/>
    </row>
    <row r="364" spans="1:18" s="44" customFormat="1" ht="1.5" customHeight="1">
      <c r="A364" s="149"/>
      <c r="B364" s="623"/>
      <c r="C364" s="623"/>
      <c r="D364" s="623"/>
      <c r="E364" s="623"/>
      <c r="F364" s="623"/>
      <c r="G364" s="623"/>
      <c r="H364" s="623"/>
      <c r="I364" s="623"/>
      <c r="J364" s="623"/>
      <c r="K364" s="623"/>
      <c r="L364" s="623"/>
      <c r="M364" s="623"/>
      <c r="R364" s="417"/>
    </row>
    <row r="365" spans="1:18" s="44" customFormat="1" ht="12" customHeight="1">
      <c r="A365" s="149"/>
      <c r="B365" s="487" t="s">
        <v>4031</v>
      </c>
      <c r="F365" s="54" t="s">
        <v>3625</v>
      </c>
      <c r="G365" s="54"/>
      <c r="J365" s="3145"/>
      <c r="K365" s="3146"/>
      <c r="L365" s="3146"/>
      <c r="M365" s="3146"/>
      <c r="N365" s="3147"/>
      <c r="O365" s="2297" t="s">
        <v>3723</v>
      </c>
    </row>
    <row r="366" spans="1:18" s="44" customFormat="1" ht="3" customHeight="1">
      <c r="A366" s="149"/>
      <c r="C366" s="1831"/>
      <c r="D366" s="1831"/>
      <c r="E366" s="1831"/>
      <c r="F366" s="417"/>
      <c r="H366" s="1831"/>
      <c r="I366" s="1831"/>
      <c r="J366" s="1831"/>
      <c r="K366" s="1831"/>
      <c r="L366" s="1831"/>
      <c r="N366" s="623"/>
      <c r="O366" s="2297"/>
      <c r="P366" s="623"/>
    </row>
    <row r="367" spans="1:18" s="44" customFormat="1" ht="11.25" customHeight="1">
      <c r="A367" s="149"/>
      <c r="C367" s="1831"/>
      <c r="D367" s="1831"/>
      <c r="E367" s="1831"/>
      <c r="F367" s="57" t="s">
        <v>3052</v>
      </c>
      <c r="G367" s="57"/>
      <c r="J367" s="2299" t="str">
        <f>'Part I-Project Information'!$H$67</f>
        <v>Elderly</v>
      </c>
      <c r="K367" s="2300"/>
      <c r="L367" s="1831"/>
      <c r="M367" s="2275" t="s">
        <v>3901</v>
      </c>
      <c r="N367" s="623"/>
      <c r="O367" s="2297"/>
      <c r="P367" s="623"/>
    </row>
    <row r="368" spans="1:18" s="44" customFormat="1" ht="11.25" customHeight="1">
      <c r="A368" s="149"/>
      <c r="B368" s="655" t="s">
        <v>3626</v>
      </c>
      <c r="C368" s="654"/>
      <c r="D368" s="654"/>
      <c r="E368" s="1831"/>
      <c r="F368" s="417"/>
      <c r="H368" s="1831"/>
      <c r="I368" s="1831"/>
      <c r="J368" s="1831"/>
      <c r="K368" s="1831"/>
      <c r="L368" s="1831"/>
      <c r="M368" s="2275"/>
      <c r="N368" s="623"/>
      <c r="O368" s="2297"/>
      <c r="P368" s="2273" t="s">
        <v>3622</v>
      </c>
    </row>
    <row r="369" spans="1:18" s="44" customFormat="1" ht="12.75" customHeight="1">
      <c r="A369" s="149"/>
      <c r="C369" s="1807"/>
      <c r="F369" s="487" t="s">
        <v>3627</v>
      </c>
      <c r="H369" s="1831"/>
      <c r="I369" s="783" t="s">
        <v>3621</v>
      </c>
      <c r="J369" s="609" t="s">
        <v>3623</v>
      </c>
      <c r="K369" s="1822" t="s">
        <v>3622</v>
      </c>
      <c r="L369" s="785" t="s">
        <v>3624</v>
      </c>
      <c r="M369" s="2275"/>
      <c r="N369" s="784"/>
      <c r="O369" s="2297"/>
      <c r="P369" s="2274"/>
    </row>
    <row r="370" spans="1:18" s="44" customFormat="1" ht="12" customHeight="1">
      <c r="A370" s="149"/>
      <c r="B370" s="416" t="s">
        <v>2520</v>
      </c>
      <c r="C370" s="782" t="s">
        <v>3620</v>
      </c>
      <c r="D370" s="654"/>
      <c r="E370" s="1831"/>
      <c r="F370" s="3148"/>
      <c r="G370" s="3149"/>
      <c r="H370" s="3150"/>
      <c r="I370" s="3151"/>
      <c r="J370" s="3151"/>
      <c r="K370" s="3152"/>
      <c r="L370" s="784">
        <v>78</v>
      </c>
      <c r="M370" s="838" t="str">
        <f>IF(K370="","",IF(K370&gt;=L370,"Yes",IF(K370&lt;L370,"No","")))</f>
        <v/>
      </c>
      <c r="N370" s="784"/>
      <c r="O370" s="841" t="str">
        <f>IF(P370="","",IF(P370&gt;=L370,"Yes",IF(P370&lt;L370,"No","")))</f>
        <v/>
      </c>
      <c r="P370" s="786"/>
      <c r="Q370" s="37" t="s">
        <v>4125</v>
      </c>
    </row>
    <row r="371" spans="1:18" s="44" customFormat="1" ht="12" customHeight="1">
      <c r="A371" s="149"/>
      <c r="B371" s="432" t="s">
        <v>2521</v>
      </c>
      <c r="C371" s="782" t="s">
        <v>3618</v>
      </c>
      <c r="D371" s="654"/>
      <c r="E371" s="1831"/>
      <c r="F371" s="3153"/>
      <c r="G371" s="3154"/>
      <c r="H371" s="3155"/>
      <c r="I371" s="3156"/>
      <c r="J371" s="3156"/>
      <c r="K371" s="3157"/>
      <c r="L371" s="784">
        <v>75</v>
      </c>
      <c r="M371" s="839" t="str">
        <f>IF(K371="","",IF(K371&gt;=L371,"Yes",IF(K371&lt;L371,"No","")))</f>
        <v/>
      </c>
      <c r="N371" s="784"/>
      <c r="O371" s="842" t="str">
        <f>IF(P371="","",IF(P371&gt;=L371,"Yes",IF(P371&lt;L371,"No","")))</f>
        <v/>
      </c>
      <c r="P371" s="787"/>
      <c r="Q371" s="37" t="s">
        <v>4125</v>
      </c>
    </row>
    <row r="372" spans="1:18" s="44" customFormat="1" ht="12" customHeight="1">
      <c r="A372" s="149"/>
      <c r="B372" s="416" t="s">
        <v>2522</v>
      </c>
      <c r="C372" s="782" t="s">
        <v>3619</v>
      </c>
      <c r="D372" s="654"/>
      <c r="E372" s="1831"/>
      <c r="F372" s="3158"/>
      <c r="G372" s="3159"/>
      <c r="H372" s="3160"/>
      <c r="I372" s="3161"/>
      <c r="J372" s="3161"/>
      <c r="K372" s="3162"/>
      <c r="L372" s="784">
        <v>72</v>
      </c>
      <c r="M372" s="840" t="str">
        <f>IF(K372="","",IF(K372&gt;=L372,"Yes",IF(K372&lt;L372,"No","")))</f>
        <v/>
      </c>
      <c r="N372" s="784"/>
      <c r="O372" s="843" t="str">
        <f>IF(P372="","",IF(P372&gt;=L372,"Yes",IF(P372&lt;L372,"No","")))</f>
        <v/>
      </c>
      <c r="P372" s="788"/>
      <c r="Q372" s="37" t="s">
        <v>4125</v>
      </c>
    </row>
    <row r="373" spans="1:18" s="44" customFormat="1" ht="10.5" customHeight="1">
      <c r="A373" s="43"/>
      <c r="B373" s="50" t="s">
        <v>267</v>
      </c>
      <c r="C373" s="43"/>
      <c r="D373" s="49"/>
      <c r="E373" s="49"/>
      <c r="F373" s="49"/>
      <c r="G373" s="49"/>
      <c r="H373" s="37"/>
      <c r="I373" s="37"/>
      <c r="J373" s="37"/>
      <c r="K373" s="37"/>
      <c r="M373" s="47"/>
      <c r="N373" s="65"/>
      <c r="O373" s="3"/>
      <c r="P373" s="1813"/>
    </row>
    <row r="374" spans="1:18" s="44" customFormat="1" ht="11.25" customHeight="1">
      <c r="A374" s="2900"/>
      <c r="B374" s="2901"/>
      <c r="C374" s="2901"/>
      <c r="D374" s="2901"/>
      <c r="E374" s="2901"/>
      <c r="F374" s="2901"/>
      <c r="G374" s="2901"/>
      <c r="H374" s="2901"/>
      <c r="I374" s="2901"/>
      <c r="J374" s="2901"/>
      <c r="K374" s="2901"/>
      <c r="L374" s="2901"/>
      <c r="M374" s="2901"/>
      <c r="N374" s="2901"/>
      <c r="O374" s="2901"/>
      <c r="P374" s="2902"/>
      <c r="Q374" s="502" t="s">
        <v>1301</v>
      </c>
    </row>
    <row r="375" spans="1:18" s="44" customFormat="1" ht="10.5" customHeight="1">
      <c r="A375" s="43"/>
      <c r="B375" s="91" t="s">
        <v>1937</v>
      </c>
      <c r="C375" s="104"/>
      <c r="D375" s="91"/>
      <c r="E375" s="105"/>
      <c r="F375" s="1814"/>
      <c r="G375" s="1814"/>
      <c r="H375" s="1814"/>
      <c r="I375" s="1814"/>
      <c r="J375" s="1814"/>
      <c r="K375" s="1814"/>
      <c r="L375" s="1814"/>
      <c r="M375" s="1814"/>
      <c r="N375" s="79"/>
      <c r="O375" s="75"/>
      <c r="P375" s="1809"/>
      <c r="Q375" s="478"/>
    </row>
    <row r="376" spans="1:18" s="44" customFormat="1" ht="11.25" customHeight="1">
      <c r="A376" s="2121"/>
      <c r="B376" s="2122"/>
      <c r="C376" s="2122"/>
      <c r="D376" s="2122"/>
      <c r="E376" s="2122"/>
      <c r="F376" s="2122"/>
      <c r="G376" s="2122"/>
      <c r="H376" s="2122"/>
      <c r="I376" s="2122"/>
      <c r="J376" s="2122"/>
      <c r="K376" s="2122"/>
      <c r="L376" s="2122"/>
      <c r="M376" s="2122"/>
      <c r="N376" s="2122"/>
      <c r="O376" s="2122"/>
      <c r="P376" s="2123"/>
      <c r="Q376" s="502" t="s">
        <v>1301</v>
      </c>
    </row>
    <row r="377" spans="1:18" s="44" customFormat="1" ht="3" customHeight="1">
      <c r="A377" s="43"/>
      <c r="C377" s="1814"/>
      <c r="D377" s="1814"/>
      <c r="E377" s="1814"/>
      <c r="F377" s="1814"/>
      <c r="G377" s="1814"/>
      <c r="H377" s="1814"/>
      <c r="I377" s="1814"/>
      <c r="J377" s="1814"/>
      <c r="K377" s="1814"/>
      <c r="L377" s="1814"/>
      <c r="M377" s="1814"/>
      <c r="N377" s="79"/>
      <c r="O377" s="75"/>
      <c r="P377" s="1190"/>
    </row>
    <row r="378" spans="1:18" s="44" customFormat="1" ht="12" customHeight="1">
      <c r="A378" s="166" t="s">
        <v>2966</v>
      </c>
      <c r="B378" s="112" t="s">
        <v>2965</v>
      </c>
      <c r="C378" s="56"/>
      <c r="D378" s="124"/>
      <c r="E378" s="124"/>
      <c r="F378" s="42"/>
      <c r="G378" s="1822" t="s">
        <v>4032</v>
      </c>
      <c r="H378" s="42"/>
      <c r="M378" s="1190">
        <v>2</v>
      </c>
      <c r="N378" s="192"/>
      <c r="O378" s="68">
        <f>IF(AND($H$388="",$I$391&gt;=0.6),2,IF(AND($H$388="",$I$391&gt;=0.5),1,0))</f>
        <v>0</v>
      </c>
      <c r="P378" s="68">
        <f>IF(AND($K$387="",$J$391&gt;=0.6),2,IF(AND($K$387="",$J$391&gt;=0.5),1,0))</f>
        <v>0</v>
      </c>
      <c r="Q378" s="115" t="s">
        <v>456</v>
      </c>
      <c r="R378" s="37" t="s">
        <v>2811</v>
      </c>
    </row>
    <row r="379" spans="1:18" s="57" customFormat="1" ht="3" customHeight="1">
      <c r="R379" s="605"/>
    </row>
    <row r="380" spans="1:18" s="57" customFormat="1" ht="12" customHeight="1">
      <c r="B380" s="149" t="s">
        <v>2058</v>
      </c>
      <c r="C380" s="37" t="s">
        <v>4039</v>
      </c>
      <c r="M380" s="609">
        <v>2</v>
      </c>
      <c r="R380" s="605"/>
    </row>
    <row r="381" spans="1:18" s="57" customFormat="1" ht="12" customHeight="1">
      <c r="B381" s="149" t="s">
        <v>2061</v>
      </c>
      <c r="C381" s="37" t="s">
        <v>4040</v>
      </c>
      <c r="M381" s="609">
        <v>1</v>
      </c>
      <c r="R381" s="605"/>
    </row>
    <row r="382" spans="1:18" s="57" customFormat="1" ht="1.5" customHeight="1">
      <c r="D382" s="1342"/>
      <c r="E382" s="1342"/>
      <c r="F382" s="1342"/>
      <c r="G382" s="1342"/>
      <c r="H382" s="1342"/>
      <c r="I382" s="1342"/>
      <c r="J382" s="1342"/>
      <c r="K382" s="1342"/>
      <c r="L382" s="1342"/>
      <c r="M382" s="1342"/>
      <c r="R382" s="605"/>
    </row>
    <row r="383" spans="1:18" s="57" customFormat="1" ht="12" customHeight="1">
      <c r="B383" s="2325" t="s">
        <v>4033</v>
      </c>
      <c r="C383" s="2326"/>
      <c r="D383" s="1834" t="s">
        <v>2967</v>
      </c>
      <c r="E383" s="2215" t="s">
        <v>3629</v>
      </c>
      <c r="F383" s="2215"/>
      <c r="G383" s="2215"/>
      <c r="H383" s="2215"/>
      <c r="I383" s="2215"/>
      <c r="J383" s="2215"/>
      <c r="K383" s="2215"/>
      <c r="L383" s="2215"/>
      <c r="M383" s="1834" t="s">
        <v>1659</v>
      </c>
      <c r="N383" s="2323" t="s">
        <v>2687</v>
      </c>
      <c r="O383" s="2324"/>
    </row>
    <row r="384" spans="1:18" s="57" customFormat="1" ht="12" customHeight="1">
      <c r="A384" s="48"/>
      <c r="B384" s="2325"/>
      <c r="C384" s="2326"/>
      <c r="D384" s="789" t="s">
        <v>1251</v>
      </c>
      <c r="E384" s="2212" t="s">
        <v>2971</v>
      </c>
      <c r="F384" s="2213"/>
      <c r="G384" s="2213"/>
      <c r="H384" s="2213"/>
      <c r="I384" s="2213"/>
      <c r="J384" s="2213"/>
      <c r="K384" s="2213"/>
      <c r="L384" s="2214"/>
      <c r="M384" s="789" t="s">
        <v>2701</v>
      </c>
      <c r="N384" s="2321" t="s">
        <v>1326</v>
      </c>
      <c r="O384" s="2322"/>
    </row>
    <row r="385" spans="1:18" s="57" customFormat="1" ht="12.75" customHeight="1">
      <c r="A385" s="48"/>
      <c r="B385" s="2325"/>
      <c r="C385" s="2326"/>
      <c r="D385" s="1833">
        <v>20000</v>
      </c>
      <c r="E385" s="2211">
        <v>15000</v>
      </c>
      <c r="F385" s="2211"/>
      <c r="G385" s="2211"/>
      <c r="H385" s="2211"/>
      <c r="I385" s="2211"/>
      <c r="J385" s="2211"/>
      <c r="K385" s="2211"/>
      <c r="L385" s="2211"/>
      <c r="M385" s="1833">
        <v>6000</v>
      </c>
      <c r="N385" s="2319">
        <v>3000</v>
      </c>
      <c r="O385" s="2320"/>
    </row>
    <row r="386" spans="1:18" s="57" customFormat="1" ht="12" customHeight="1">
      <c r="A386" s="48"/>
      <c r="B386" s="48"/>
      <c r="C386" s="467"/>
      <c r="I386" s="609" t="s">
        <v>3911</v>
      </c>
      <c r="J386" s="609" t="s">
        <v>3912</v>
      </c>
      <c r="K386" s="1249"/>
      <c r="L386" s="1249"/>
      <c r="M386" s="1249"/>
      <c r="R386" s="605"/>
    </row>
    <row r="387" spans="1:18" s="57" customFormat="1" ht="12" customHeight="1">
      <c r="C387" s="1251" t="s">
        <v>4038</v>
      </c>
      <c r="D387" s="1249"/>
      <c r="E387" s="1249"/>
      <c r="F387" s="1249"/>
      <c r="G387" s="1249"/>
      <c r="H387" s="1249"/>
      <c r="I387" s="3163"/>
      <c r="J387" s="3164"/>
      <c r="K387" s="2210" t="str">
        <f>IF(J388&lt;J387,"Threshold not met!","")</f>
        <v/>
      </c>
      <c r="L387" s="1250" t="s">
        <v>2968</v>
      </c>
      <c r="M387" s="2227" t="str">
        <f>'Part I-Project Information'!$F$28</f>
        <v>Atlanta</v>
      </c>
      <c r="N387" s="2228"/>
      <c r="O387" s="2228"/>
      <c r="P387" s="2229"/>
    </row>
    <row r="388" spans="1:18" s="57" customFormat="1" ht="12" customHeight="1">
      <c r="A388" s="1255"/>
      <c r="B388" s="1255"/>
      <c r="C388" s="482" t="s">
        <v>4034</v>
      </c>
      <c r="H388" s="1252" t="str">
        <f>IF(I388&lt;I387,"Threshold not met!","")</f>
        <v/>
      </c>
      <c r="I388" s="3165"/>
      <c r="J388" s="3166"/>
      <c r="K388" s="2210"/>
      <c r="L388" s="61" t="s">
        <v>2969</v>
      </c>
      <c r="M388" s="2196" t="str">
        <f>'Part I-Project Information'!$J$29</f>
        <v>Fulton</v>
      </c>
      <c r="N388" s="2197"/>
      <c r="O388" s="2197"/>
      <c r="P388" s="2198"/>
    </row>
    <row r="389" spans="1:18" s="57" customFormat="1" ht="12" customHeight="1">
      <c r="A389" s="1255"/>
      <c r="B389" s="1255"/>
      <c r="C389" s="482" t="s">
        <v>4036</v>
      </c>
      <c r="I389" s="3167"/>
      <c r="J389" s="3168"/>
      <c r="L389" s="482" t="s">
        <v>2970</v>
      </c>
      <c r="M389" s="2196" t="str">
        <f>'Part I-Project Information'!$O$30</f>
        <v>Atlanta-Sandy Springs-Marietta</v>
      </c>
      <c r="N389" s="2197"/>
      <c r="O389" s="2197"/>
      <c r="P389" s="2198"/>
    </row>
    <row r="390" spans="1:18" s="57" customFormat="1" ht="12" customHeight="1">
      <c r="L390" s="482" t="s">
        <v>3053</v>
      </c>
      <c r="M390" s="2196" t="str">
        <f>VLOOKUP('Part I-Project Information'!$J$29,'DCA Underwriting Assumptions'!$G$141:$J$300,4)</f>
        <v>MSA</v>
      </c>
      <c r="N390" s="2197"/>
      <c r="O390" s="2197"/>
      <c r="P390" s="2198"/>
    </row>
    <row r="391" spans="1:18" s="57" customFormat="1" ht="12" customHeight="1">
      <c r="C391" s="482" t="s">
        <v>4037</v>
      </c>
      <c r="I391" s="1253">
        <f>IF(I388=0,0,I389/I388)</f>
        <v>0</v>
      </c>
      <c r="J391" s="1254">
        <f>IF(J388=0,0,J389/J388)</f>
        <v>0</v>
      </c>
      <c r="L391" s="57" t="s">
        <v>4035</v>
      </c>
      <c r="M391" s="2207" t="str">
        <f>'Part I-Project Information'!$K$30</f>
        <v>Urban</v>
      </c>
      <c r="N391" s="2208"/>
      <c r="O391" s="2208"/>
      <c r="P391" s="2209"/>
    </row>
    <row r="392" spans="1:18" s="57" customFormat="1" ht="3" customHeight="1">
      <c r="A392" s="48"/>
      <c r="B392" s="539"/>
      <c r="C392" s="1183"/>
      <c r="D392" s="600"/>
      <c r="E392" s="600"/>
      <c r="F392" s="48"/>
      <c r="G392" s="48"/>
      <c r="H392" s="48"/>
      <c r="I392" s="48"/>
      <c r="J392" s="48"/>
      <c r="K392" s="48"/>
      <c r="R392" s="605"/>
    </row>
    <row r="393" spans="1:18" s="44" customFormat="1" ht="12" customHeight="1">
      <c r="A393" s="43"/>
      <c r="B393" s="50" t="s">
        <v>267</v>
      </c>
      <c r="C393" s="43"/>
      <c r="D393" s="49"/>
      <c r="E393" s="49"/>
      <c r="F393" s="49"/>
      <c r="G393" s="49"/>
      <c r="H393" s="37"/>
      <c r="I393" s="37"/>
      <c r="J393" s="37"/>
      <c r="K393" s="37"/>
      <c r="M393" s="47"/>
      <c r="N393" s="65"/>
      <c r="O393" s="3"/>
      <c r="P393" s="1813"/>
    </row>
    <row r="394" spans="1:18" s="44" customFormat="1" ht="21.75" customHeight="1">
      <c r="A394" s="2900"/>
      <c r="B394" s="2901"/>
      <c r="C394" s="2901"/>
      <c r="D394" s="2901"/>
      <c r="E394" s="2901"/>
      <c r="F394" s="2901"/>
      <c r="G394" s="2901"/>
      <c r="H394" s="2901"/>
      <c r="I394" s="2901"/>
      <c r="J394" s="2901"/>
      <c r="K394" s="2901"/>
      <c r="L394" s="2901"/>
      <c r="M394" s="2901"/>
      <c r="N394" s="2901"/>
      <c r="O394" s="2901"/>
      <c r="P394" s="2902"/>
      <c r="Q394" s="502" t="s">
        <v>1301</v>
      </c>
    </row>
    <row r="395" spans="1:18" s="44" customFormat="1" ht="11.25" customHeight="1">
      <c r="A395" s="43"/>
      <c r="B395" s="91" t="s">
        <v>1937</v>
      </c>
      <c r="C395" s="104"/>
      <c r="D395" s="91"/>
      <c r="E395" s="105"/>
      <c r="F395" s="1814"/>
      <c r="G395" s="1814"/>
      <c r="H395" s="1814"/>
      <c r="I395" s="1814"/>
      <c r="J395" s="1814"/>
      <c r="K395" s="1814"/>
      <c r="L395" s="1814"/>
      <c r="M395" s="1814"/>
      <c r="N395" s="79"/>
      <c r="O395" s="75"/>
      <c r="P395" s="1809"/>
      <c r="Q395" s="478"/>
    </row>
    <row r="396" spans="1:18" s="44" customFormat="1" ht="12.75" customHeight="1">
      <c r="A396" s="2121"/>
      <c r="B396" s="2122"/>
      <c r="C396" s="2122"/>
      <c r="D396" s="2122"/>
      <c r="E396" s="2122"/>
      <c r="F396" s="2122"/>
      <c r="G396" s="2122"/>
      <c r="H396" s="2122"/>
      <c r="I396" s="2122"/>
      <c r="J396" s="2122"/>
      <c r="K396" s="2122"/>
      <c r="L396" s="2122"/>
      <c r="M396" s="2122"/>
      <c r="N396" s="2122"/>
      <c r="O396" s="2122"/>
      <c r="P396" s="2123"/>
      <c r="Q396" s="502" t="s">
        <v>1301</v>
      </c>
    </row>
    <row r="397" spans="1:18" s="44" customFormat="1" ht="3" customHeight="1">
      <c r="A397" s="43"/>
      <c r="C397" s="1814"/>
      <c r="D397" s="1814"/>
      <c r="E397" s="1814"/>
      <c r="F397" s="1814"/>
      <c r="G397" s="1814"/>
      <c r="H397" s="1814"/>
      <c r="I397" s="1814"/>
      <c r="J397" s="1814"/>
      <c r="K397" s="1814"/>
      <c r="L397" s="1814"/>
      <c r="M397" s="1814"/>
      <c r="N397" s="79"/>
      <c r="O397" s="75"/>
      <c r="P397" s="1190"/>
    </row>
    <row r="398" spans="1:18" s="108" customFormat="1" ht="11.25" customHeight="1">
      <c r="A398" s="166" t="s">
        <v>2964</v>
      </c>
      <c r="B398" s="111" t="s">
        <v>1737</v>
      </c>
      <c r="D398" s="46"/>
      <c r="E398" s="46"/>
      <c r="F398" s="40"/>
      <c r="G398" s="37"/>
      <c r="I398" s="37"/>
      <c r="J398" s="37"/>
      <c r="K398" s="37"/>
      <c r="L398" s="417" t="str">
        <f>IF(OR($O398=$M398,$O398&lt;=0,$O398=""),"","* * Check Score! * *")</f>
        <v/>
      </c>
      <c r="M398" s="1809">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809"/>
      <c r="N399" s="6"/>
      <c r="O399" s="6"/>
      <c r="P399" s="6"/>
      <c r="Q399" s="115"/>
    </row>
    <row r="400" spans="1:18" s="108" customFormat="1" ht="11.25" customHeight="1">
      <c r="A400" s="166"/>
      <c r="B400" s="92" t="s">
        <v>4097</v>
      </c>
      <c r="D400" s="46"/>
      <c r="E400" s="46"/>
      <c r="F400" s="40"/>
      <c r="G400" s="37"/>
      <c r="I400" s="37"/>
      <c r="J400" s="37"/>
      <c r="K400" s="37"/>
      <c r="L400" s="417"/>
      <c r="M400" s="1809"/>
      <c r="N400" s="6"/>
      <c r="O400" s="1285">
        <v>10</v>
      </c>
      <c r="P400" s="1285">
        <v>10</v>
      </c>
      <c r="Q400" s="115"/>
    </row>
    <row r="401" spans="1:18" s="108" customFormat="1" ht="11.25" customHeight="1">
      <c r="A401" s="166"/>
      <c r="B401" s="92" t="s">
        <v>4098</v>
      </c>
      <c r="D401" s="46"/>
      <c r="E401" s="46"/>
      <c r="F401" s="40"/>
      <c r="G401" s="37"/>
      <c r="I401" s="37"/>
      <c r="J401" s="37"/>
      <c r="K401" s="37"/>
      <c r="L401" s="417"/>
      <c r="M401" s="1809"/>
      <c r="N401" s="6"/>
      <c r="O401" s="3169"/>
      <c r="P401" s="625"/>
      <c r="Q401" s="115"/>
    </row>
    <row r="402" spans="1:18" s="108" customFormat="1" ht="11.25" customHeight="1">
      <c r="A402" s="166"/>
      <c r="B402" s="92" t="s">
        <v>4099</v>
      </c>
      <c r="D402" s="46"/>
      <c r="E402" s="46"/>
      <c r="F402" s="40"/>
      <c r="G402" s="37"/>
      <c r="I402" s="37"/>
      <c r="J402" s="37"/>
      <c r="K402" s="37"/>
      <c r="L402" s="417"/>
      <c r="M402" s="1809"/>
      <c r="N402" s="6"/>
      <c r="O402" s="3170"/>
      <c r="P402" s="626"/>
      <c r="Q402" s="115"/>
    </row>
    <row r="403" spans="1:18" s="108" customFormat="1" ht="3" customHeight="1">
      <c r="A403" s="166"/>
      <c r="B403" s="180"/>
      <c r="D403" s="46"/>
      <c r="E403" s="46"/>
      <c r="F403" s="40"/>
      <c r="G403" s="37"/>
      <c r="I403" s="37"/>
      <c r="J403" s="37"/>
      <c r="K403" s="37"/>
      <c r="L403" s="417"/>
      <c r="M403" s="1809"/>
      <c r="N403" s="1809"/>
      <c r="O403" s="1809"/>
      <c r="P403" s="1809"/>
      <c r="Q403" s="115"/>
    </row>
    <row r="404" spans="1:18" ht="12.6" customHeight="1">
      <c r="A404" s="149" t="s">
        <v>2058</v>
      </c>
      <c r="B404" s="195" t="s">
        <v>1492</v>
      </c>
      <c r="D404" s="34"/>
      <c r="E404" s="34"/>
      <c r="F404" s="34"/>
      <c r="G404" s="34"/>
      <c r="H404" s="34"/>
      <c r="I404" s="34"/>
      <c r="J404" s="34"/>
      <c r="K404" s="34"/>
      <c r="L404" s="34"/>
      <c r="M404" s="122"/>
      <c r="N404" s="527" t="s">
        <v>2058</v>
      </c>
      <c r="O404" s="3023"/>
      <c r="P404" s="1146"/>
      <c r="Q404" s="188" t="s">
        <v>2811</v>
      </c>
    </row>
    <row r="405" spans="1:18" s="108" customFormat="1" ht="11.25" customHeight="1">
      <c r="A405" s="71"/>
      <c r="B405" s="71" t="s">
        <v>1937</v>
      </c>
      <c r="C405" s="51"/>
      <c r="D405" s="71"/>
      <c r="E405" s="1815"/>
      <c r="F405" s="1815"/>
      <c r="G405" s="1815"/>
      <c r="H405" s="1815"/>
      <c r="I405" s="1815"/>
      <c r="J405" s="1815"/>
      <c r="K405" s="1815"/>
      <c r="L405" s="1815"/>
      <c r="M405" s="1815"/>
      <c r="N405" s="99"/>
      <c r="O405" s="1163"/>
      <c r="P405" s="1809"/>
    </row>
    <row r="406" spans="1:18" s="44" customFormat="1" ht="12.75" customHeight="1">
      <c r="A406" s="2121"/>
      <c r="B406" s="2122"/>
      <c r="C406" s="2122"/>
      <c r="D406" s="2122"/>
      <c r="E406" s="2122"/>
      <c r="F406" s="2122"/>
      <c r="G406" s="2122"/>
      <c r="H406" s="2122"/>
      <c r="I406" s="2122"/>
      <c r="J406" s="2122"/>
      <c r="K406" s="2122"/>
      <c r="L406" s="2122"/>
      <c r="M406" s="2122"/>
      <c r="N406" s="2122"/>
      <c r="O406" s="2122"/>
      <c r="P406" s="2123"/>
      <c r="Q406" s="502" t="s">
        <v>1301</v>
      </c>
      <c r="R406" s="503"/>
    </row>
    <row r="407" spans="1:18" s="44" customFormat="1" ht="6" customHeight="1" thickBot="1">
      <c r="A407" s="43"/>
      <c r="B407" s="43"/>
      <c r="C407" s="1814"/>
      <c r="D407" s="1814"/>
      <c r="E407" s="1814"/>
      <c r="F407" s="1814"/>
      <c r="G407" s="1814"/>
      <c r="H407" s="1814"/>
      <c r="I407" s="1814"/>
      <c r="J407" s="1814"/>
      <c r="K407" s="1814"/>
      <c r="L407" s="1814"/>
      <c r="M407" s="1814"/>
      <c r="N407" s="79"/>
      <c r="O407" s="75"/>
      <c r="P407" s="1190"/>
    </row>
    <row r="408" spans="1:18" s="43" customFormat="1" ht="13.5" customHeight="1" thickBot="1">
      <c r="A408" s="505"/>
      <c r="B408" s="72"/>
      <c r="C408" s="51"/>
      <c r="D408" s="36"/>
      <c r="E408" s="36"/>
      <c r="F408" s="56"/>
      <c r="G408" s="44"/>
      <c r="H408" s="167" t="s">
        <v>441</v>
      </c>
      <c r="I408" s="168"/>
      <c r="J408" s="168"/>
      <c r="K408" s="168"/>
      <c r="L408" s="108"/>
      <c r="M408" s="498">
        <f>M8+M29+M43+M56+M79+M86+M113+M129+M172+M195+M206+M214+M222+M235+M249+M288+M301+M314+M330+M362+M378+M398</f>
        <v>103</v>
      </c>
      <c r="N408" s="169"/>
      <c r="O408" s="170">
        <f ca="1">O8+O29+O43+O56+O79+O86+O113+O129+O172+O195+O206+O222+O235+O249+O301+O314+O362+O378+O398</f>
        <v>22</v>
      </c>
      <c r="P408" s="170">
        <f ca="1">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809"/>
      <c r="O409" s="525"/>
      <c r="P409" s="525">
        <f>P214</f>
        <v>0</v>
      </c>
    </row>
    <row r="410" spans="1:18" s="43" customFormat="1" ht="13.5" customHeight="1">
      <c r="A410" s="56"/>
      <c r="B410" s="72"/>
      <c r="C410" s="56"/>
      <c r="D410" s="36"/>
      <c r="E410" s="36"/>
      <c r="F410" s="74"/>
      <c r="G410" s="74"/>
      <c r="I410" s="180" t="s">
        <v>3059</v>
      </c>
      <c r="J410" s="73"/>
      <c r="K410" s="73"/>
      <c r="L410" s="44"/>
      <c r="M410" s="36"/>
      <c r="N410" s="1809"/>
      <c r="O410" s="1809"/>
      <c r="P410" s="525">
        <f>P288</f>
        <v>0</v>
      </c>
    </row>
    <row r="411" spans="1:18" s="44" customFormat="1" ht="13.5" customHeight="1">
      <c r="A411" s="43"/>
      <c r="B411" s="43"/>
      <c r="C411" s="1814"/>
      <c r="D411" s="1814"/>
      <c r="E411" s="1814"/>
      <c r="F411" s="1814"/>
      <c r="G411" s="1814"/>
      <c r="I411" s="180" t="s">
        <v>3060</v>
      </c>
      <c r="J411" s="1814"/>
      <c r="K411" s="1814"/>
      <c r="L411" s="1814"/>
      <c r="M411" s="1814"/>
      <c r="N411" s="79"/>
      <c r="O411" s="75"/>
      <c r="P411" s="525">
        <f>P330</f>
        <v>0</v>
      </c>
    </row>
    <row r="412" spans="1:18" s="44" customFormat="1" ht="13.5" customHeight="1">
      <c r="A412" s="43"/>
      <c r="D412" s="40"/>
      <c r="E412" s="37"/>
      <c r="F412" s="1190"/>
      <c r="G412" s="1190"/>
      <c r="H412" s="4" t="s">
        <v>3061</v>
      </c>
      <c r="I412" s="1190"/>
      <c r="J412" s="1220"/>
      <c r="K412" s="1220"/>
      <c r="L412" s="1220"/>
      <c r="M412" s="63"/>
      <c r="N412" s="1190"/>
      <c r="O412" s="1813"/>
      <c r="P412" s="650">
        <f ca="1">P408-P409-P410-P411</f>
        <v>22</v>
      </c>
    </row>
    <row r="413" spans="1:18" s="172" customFormat="1" ht="13.5" customHeight="1">
      <c r="A413" s="56"/>
      <c r="B413" s="72"/>
      <c r="C413" s="56"/>
      <c r="D413" s="158"/>
      <c r="E413" s="158"/>
      <c r="F413" s="41"/>
      <c r="G413" s="41"/>
      <c r="H413" s="74"/>
      <c r="I413" s="74"/>
      <c r="J413" s="544"/>
      <c r="K413" s="544"/>
      <c r="L413" s="44"/>
      <c r="M413" s="158"/>
      <c r="N413" s="1809"/>
      <c r="O413" s="1809"/>
      <c r="P413" s="3"/>
    </row>
    <row r="414" spans="1:18" s="44" customFormat="1" ht="27.75" customHeight="1">
      <c r="A414" s="2318" t="s">
        <v>4145</v>
      </c>
      <c r="B414" s="2318"/>
      <c r="C414" s="2318"/>
      <c r="D414" s="2318"/>
      <c r="E414" s="2318"/>
      <c r="F414" s="2318"/>
      <c r="G414" s="2318"/>
      <c r="H414" s="2318"/>
      <c r="I414" s="2318"/>
      <c r="J414" s="2318"/>
      <c r="K414" s="2318"/>
      <c r="L414" s="2318"/>
      <c r="M414" s="2318"/>
      <c r="N414" s="2318"/>
      <c r="O414" s="2318"/>
      <c r="P414" s="2318"/>
    </row>
    <row r="415" spans="1:18" s="44" customFormat="1" ht="157.5" customHeight="1">
      <c r="A415" s="2900" t="s">
        <v>4287</v>
      </c>
      <c r="B415" s="2901"/>
      <c r="C415" s="2901"/>
      <c r="D415" s="2901"/>
      <c r="E415" s="2901"/>
      <c r="F415" s="2901"/>
      <c r="G415" s="2901"/>
      <c r="H415" s="2901"/>
      <c r="I415" s="2901"/>
      <c r="J415" s="2901"/>
      <c r="K415" s="2901"/>
      <c r="L415" s="2901"/>
      <c r="M415" s="2901"/>
      <c r="N415" s="2901"/>
      <c r="O415" s="2901"/>
      <c r="P415" s="2902"/>
      <c r="Q415" s="502" t="s">
        <v>1301</v>
      </c>
      <c r="R415" s="503"/>
    </row>
    <row r="416" spans="1:18" s="172" customFormat="1">
      <c r="N416" s="130"/>
      <c r="O416" s="1805"/>
      <c r="P416" s="1805"/>
    </row>
    <row r="417" spans="3:16" s="172" customFormat="1">
      <c r="N417" s="130"/>
      <c r="O417" s="1805"/>
      <c r="P417" s="1805"/>
    </row>
    <row r="418" spans="3:16" s="172" customFormat="1">
      <c r="N418" s="130"/>
      <c r="O418" s="1805"/>
      <c r="P418" s="1805"/>
    </row>
    <row r="419" spans="3:16" s="172" customFormat="1">
      <c r="N419" s="130"/>
      <c r="O419" s="1805"/>
      <c r="P419" s="1805"/>
    </row>
    <row r="420" spans="3:16" s="548" customFormat="1">
      <c r="C420" s="507" t="s">
        <v>1708</v>
      </c>
      <c r="D420" s="507"/>
      <c r="E420" s="507"/>
      <c r="F420" s="507"/>
      <c r="G420" s="507"/>
      <c r="H420" s="507"/>
      <c r="I420" s="507"/>
      <c r="J420" s="507" t="s">
        <v>1050</v>
      </c>
      <c r="K420" s="507"/>
      <c r="N420" s="1343"/>
      <c r="O420" s="1344"/>
      <c r="P420" s="1344"/>
    </row>
    <row r="421" spans="3:16" s="548" customFormat="1">
      <c r="C421" s="548" t="s">
        <v>2167</v>
      </c>
      <c r="J421" s="548" t="s">
        <v>1837</v>
      </c>
      <c r="N421" s="1343"/>
      <c r="O421" s="1344"/>
      <c r="P421" s="1344"/>
    </row>
    <row r="422" spans="3:16" s="548" customFormat="1">
      <c r="C422" s="507" t="s">
        <v>2632</v>
      </c>
      <c r="D422" s="507"/>
      <c r="E422" s="507"/>
      <c r="F422" s="507"/>
      <c r="G422" s="507"/>
      <c r="H422" s="507"/>
      <c r="I422" s="507"/>
      <c r="J422" s="1286" t="s">
        <v>239</v>
      </c>
      <c r="K422" s="507"/>
      <c r="N422" s="1343"/>
      <c r="O422" s="1344"/>
      <c r="P422" s="1344"/>
    </row>
    <row r="423" spans="3:16" s="548" customFormat="1">
      <c r="C423" s="507" t="s">
        <v>2168</v>
      </c>
      <c r="D423" s="507"/>
      <c r="E423" s="507"/>
      <c r="F423" s="507"/>
      <c r="G423" s="507"/>
      <c r="H423" s="507"/>
      <c r="I423" s="507"/>
      <c r="J423" s="1286" t="s">
        <v>1710</v>
      </c>
      <c r="K423" s="507"/>
      <c r="N423" s="1343"/>
      <c r="O423" s="1344"/>
      <c r="P423" s="1344"/>
    </row>
    <row r="424" spans="3:16" s="548" customFormat="1">
      <c r="C424" s="507" t="s">
        <v>2169</v>
      </c>
      <c r="D424" s="507"/>
      <c r="E424" s="507"/>
      <c r="F424" s="507"/>
      <c r="G424" s="507"/>
      <c r="H424" s="507"/>
      <c r="I424" s="507"/>
      <c r="J424" s="1286" t="s">
        <v>1711</v>
      </c>
      <c r="K424" s="507"/>
      <c r="N424" s="1343"/>
      <c r="O424" s="1344"/>
      <c r="P424" s="1344"/>
    </row>
    <row r="425" spans="3:16" s="548" customFormat="1">
      <c r="C425" s="1287" t="s">
        <v>2170</v>
      </c>
      <c r="D425" s="507"/>
      <c r="E425" s="507"/>
      <c r="F425" s="507"/>
      <c r="G425" s="507"/>
      <c r="H425" s="507"/>
      <c r="I425" s="507"/>
      <c r="J425" s="1286" t="s">
        <v>2591</v>
      </c>
      <c r="K425" s="507"/>
      <c r="N425" s="1343"/>
      <c r="O425" s="1344"/>
      <c r="P425" s="1344"/>
    </row>
    <row r="426" spans="3:16" s="548" customFormat="1">
      <c r="C426" s="1287" t="s">
        <v>2171</v>
      </c>
      <c r="D426" s="507"/>
      <c r="E426" s="507"/>
      <c r="F426" s="507"/>
      <c r="G426" s="507"/>
      <c r="H426" s="507"/>
      <c r="I426" s="507"/>
      <c r="J426" s="1286" t="s">
        <v>1712</v>
      </c>
      <c r="K426" s="507"/>
      <c r="N426" s="1343"/>
      <c r="O426" s="1344"/>
      <c r="P426" s="1344"/>
    </row>
    <row r="427" spans="3:16" s="548" customFormat="1">
      <c r="C427" s="1287"/>
      <c r="D427" s="507"/>
      <c r="E427" s="507"/>
      <c r="F427" s="507"/>
      <c r="G427" s="507"/>
      <c r="H427" s="507"/>
      <c r="I427" s="507"/>
      <c r="J427" s="1286" t="s">
        <v>1713</v>
      </c>
      <c r="K427" s="507"/>
      <c r="N427" s="1343"/>
      <c r="O427" s="1344"/>
      <c r="P427" s="1344"/>
    </row>
    <row r="428" spans="3:16" s="548" customFormat="1">
      <c r="C428" s="548" t="s">
        <v>1837</v>
      </c>
      <c r="D428" s="507"/>
      <c r="E428" s="507"/>
      <c r="F428" s="507"/>
      <c r="G428" s="507"/>
      <c r="H428" s="507"/>
      <c r="I428" s="507"/>
      <c r="J428" s="1286" t="s">
        <v>1714</v>
      </c>
      <c r="K428" s="507"/>
      <c r="N428" s="1343"/>
      <c r="O428" s="1344"/>
      <c r="P428" s="1344"/>
    </row>
    <row r="429" spans="3:16" s="548" customFormat="1">
      <c r="C429" s="1288" t="s">
        <v>1442</v>
      </c>
      <c r="D429" s="507"/>
      <c r="E429" s="507"/>
      <c r="F429" s="507"/>
      <c r="G429" s="507"/>
      <c r="H429" s="507"/>
      <c r="I429" s="507"/>
      <c r="J429" s="1286" t="s">
        <v>1715</v>
      </c>
      <c r="K429" s="507"/>
      <c r="N429" s="1343"/>
      <c r="O429" s="1344"/>
      <c r="P429" s="1344"/>
    </row>
    <row r="430" spans="3:16" s="548" customFormat="1">
      <c r="C430" s="1288" t="s">
        <v>1443</v>
      </c>
      <c r="D430" s="507"/>
      <c r="E430" s="507"/>
      <c r="F430" s="507"/>
      <c r="G430" s="507"/>
      <c r="H430" s="507"/>
      <c r="I430" s="507"/>
      <c r="J430" s="1286" t="s">
        <v>1716</v>
      </c>
      <c r="K430" s="507"/>
      <c r="N430" s="1343"/>
      <c r="O430" s="1344"/>
      <c r="P430" s="1344"/>
    </row>
    <row r="431" spans="3:16" s="548" customFormat="1">
      <c r="C431" s="1289" t="s">
        <v>2211</v>
      </c>
      <c r="D431" s="507"/>
      <c r="E431" s="507"/>
      <c r="F431" s="507"/>
      <c r="G431" s="507"/>
      <c r="H431" s="507"/>
      <c r="I431" s="507"/>
      <c r="J431" s="1286" t="s">
        <v>1717</v>
      </c>
      <c r="K431" s="507"/>
      <c r="N431" s="1343"/>
      <c r="O431" s="1344"/>
      <c r="P431" s="1344"/>
    </row>
    <row r="432" spans="3:16" s="548" customFormat="1">
      <c r="C432" s="1289" t="s">
        <v>1439</v>
      </c>
      <c r="D432" s="507"/>
      <c r="E432" s="507"/>
      <c r="F432" s="507"/>
      <c r="G432" s="507"/>
      <c r="H432" s="507"/>
      <c r="I432" s="507"/>
      <c r="J432" s="1286" t="s">
        <v>613</v>
      </c>
      <c r="K432" s="507"/>
      <c r="N432" s="1343"/>
      <c r="O432" s="1344"/>
      <c r="P432" s="1344"/>
    </row>
    <row r="433" spans="3:16" s="548" customFormat="1">
      <c r="C433" s="1289" t="s">
        <v>1440</v>
      </c>
      <c r="D433" s="507"/>
      <c r="E433" s="507"/>
      <c r="F433" s="507"/>
      <c r="G433" s="507"/>
      <c r="H433" s="507"/>
      <c r="I433" s="507"/>
      <c r="J433" s="1286" t="s">
        <v>1718</v>
      </c>
      <c r="K433" s="507"/>
      <c r="N433" s="1343"/>
      <c r="O433" s="1344"/>
      <c r="P433" s="1344"/>
    </row>
    <row r="434" spans="3:16" s="548" customFormat="1">
      <c r="C434" s="1288" t="s">
        <v>2206</v>
      </c>
      <c r="D434" s="507"/>
      <c r="E434" s="507"/>
      <c r="F434" s="507"/>
      <c r="G434" s="507"/>
      <c r="H434" s="507"/>
      <c r="I434" s="507"/>
      <c r="J434" s="1286" t="s">
        <v>1719</v>
      </c>
      <c r="K434" s="507"/>
      <c r="N434" s="1343"/>
      <c r="O434" s="1344"/>
      <c r="P434" s="1344"/>
    </row>
    <row r="435" spans="3:16" s="548" customFormat="1">
      <c r="C435" s="1288" t="s">
        <v>2207</v>
      </c>
      <c r="D435" s="507"/>
      <c r="E435" s="507"/>
      <c r="F435" s="507"/>
      <c r="G435" s="507"/>
      <c r="H435" s="507"/>
      <c r="I435" s="507"/>
      <c r="J435" s="1286" t="s">
        <v>1720</v>
      </c>
      <c r="N435" s="1343"/>
      <c r="O435" s="1344"/>
      <c r="P435" s="1344"/>
    </row>
    <row r="436" spans="3:16" s="548" customFormat="1">
      <c r="C436" s="1288" t="s">
        <v>2208</v>
      </c>
      <c r="J436" s="1286" t="s">
        <v>37</v>
      </c>
      <c r="N436" s="1343"/>
      <c r="O436" s="1344"/>
      <c r="P436" s="1344"/>
    </row>
    <row r="437" spans="3:16" s="548" customFormat="1" ht="15">
      <c r="C437" s="1288" t="s">
        <v>2209</v>
      </c>
      <c r="J437" s="1290"/>
      <c r="N437" s="1343"/>
      <c r="O437" s="1344"/>
      <c r="P437" s="1344"/>
    </row>
    <row r="438" spans="3:16" s="548" customFormat="1">
      <c r="C438" s="1288" t="s">
        <v>2210</v>
      </c>
      <c r="J438" s="1291" t="s">
        <v>3650</v>
      </c>
      <c r="N438" s="1343"/>
      <c r="O438" s="1344"/>
      <c r="P438" s="1344"/>
    </row>
    <row r="439" spans="3:16" s="548" customFormat="1">
      <c r="C439" s="1288" t="s">
        <v>1441</v>
      </c>
      <c r="J439" s="1291" t="s">
        <v>3651</v>
      </c>
      <c r="N439" s="1343"/>
      <c r="O439" s="1344"/>
      <c r="P439" s="1344"/>
    </row>
    <row r="440" spans="3:16" s="548" customFormat="1">
      <c r="C440" s="1288" t="s">
        <v>2362</v>
      </c>
      <c r="J440" s="548" t="s">
        <v>3633</v>
      </c>
      <c r="N440" s="1343"/>
      <c r="O440" s="1344"/>
      <c r="P440" s="1344"/>
    </row>
    <row r="441" spans="3:16" s="548" customFormat="1">
      <c r="J441" s="548" t="s">
        <v>3634</v>
      </c>
      <c r="N441" s="1343"/>
      <c r="O441" s="1344"/>
      <c r="P441" s="1344"/>
    </row>
    <row r="442" spans="3:16" s="548" customFormat="1">
      <c r="J442" s="548" t="s">
        <v>3635</v>
      </c>
      <c r="N442" s="1343"/>
      <c r="O442" s="1344"/>
      <c r="P442" s="1344"/>
    </row>
    <row r="443" spans="3:16" s="548" customFormat="1">
      <c r="C443" s="1292" t="s">
        <v>2905</v>
      </c>
      <c r="G443" s="1293" t="s">
        <v>1560</v>
      </c>
      <c r="H443" s="1294"/>
      <c r="I443" s="1293"/>
      <c r="J443" s="548" t="s">
        <v>3636</v>
      </c>
      <c r="L443" s="1293"/>
      <c r="N443" s="1343"/>
      <c r="O443" s="1344"/>
      <c r="P443" s="1344"/>
    </row>
    <row r="444" spans="3:16" s="548" customFormat="1">
      <c r="C444" s="1295" t="s">
        <v>2907</v>
      </c>
      <c r="G444" s="1296" t="s">
        <v>2609</v>
      </c>
      <c r="H444" s="1294"/>
      <c r="I444" s="1296"/>
      <c r="J444" s="1294" t="s">
        <v>3637</v>
      </c>
      <c r="L444" s="1296"/>
      <c r="N444" s="1343"/>
      <c r="O444" s="1344"/>
      <c r="P444" s="1344"/>
    </row>
    <row r="445" spans="3:16" s="548" customFormat="1">
      <c r="C445" s="1295" t="s">
        <v>2908</v>
      </c>
      <c r="G445" s="1296" t="s">
        <v>1848</v>
      </c>
      <c r="H445" s="1294"/>
      <c r="I445" s="1297"/>
      <c r="J445" s="1294" t="s">
        <v>3638</v>
      </c>
      <c r="L445" s="1297"/>
      <c r="N445" s="1343"/>
      <c r="O445" s="1344"/>
      <c r="P445" s="1344"/>
    </row>
    <row r="446" spans="3:16" s="548" customFormat="1">
      <c r="C446" s="1295" t="s">
        <v>2909</v>
      </c>
      <c r="G446" s="1296" t="s">
        <v>1695</v>
      </c>
      <c r="H446" s="1294"/>
      <c r="I446" s="1297"/>
      <c r="J446" s="1294" t="s">
        <v>3639</v>
      </c>
      <c r="L446" s="1297"/>
      <c r="N446" s="1343"/>
      <c r="O446" s="1344"/>
      <c r="P446" s="1344"/>
    </row>
    <row r="447" spans="3:16" s="548" customFormat="1">
      <c r="C447" s="1295" t="s">
        <v>2910</v>
      </c>
      <c r="G447" s="1296" t="s">
        <v>3981</v>
      </c>
      <c r="H447" s="1294"/>
      <c r="I447" s="1297"/>
      <c r="J447" s="1294" t="s">
        <v>3640</v>
      </c>
      <c r="L447" s="1297"/>
      <c r="N447" s="1343"/>
      <c r="O447" s="1344"/>
      <c r="P447" s="1344"/>
    </row>
    <row r="448" spans="3:16" s="548" customFormat="1">
      <c r="C448" s="1295" t="s">
        <v>2911</v>
      </c>
      <c r="G448" s="1296" t="s">
        <v>2149</v>
      </c>
      <c r="H448" s="1294"/>
      <c r="I448" s="1297"/>
      <c r="J448" s="1294" t="s">
        <v>3641</v>
      </c>
      <c r="L448" s="1297"/>
      <c r="N448" s="1343"/>
      <c r="O448" s="1344"/>
      <c r="P448" s="1344"/>
    </row>
    <row r="449" spans="1:16" s="548" customFormat="1">
      <c r="C449" s="1295" t="s">
        <v>2912</v>
      </c>
      <c r="G449" s="1296" t="s">
        <v>12</v>
      </c>
      <c r="H449" s="1294"/>
      <c r="I449" s="1297"/>
      <c r="J449" s="1294" t="s">
        <v>3642</v>
      </c>
      <c r="L449" s="1297"/>
      <c r="N449" s="1343"/>
      <c r="O449" s="1344"/>
      <c r="P449" s="1344"/>
    </row>
    <row r="450" spans="1:16" s="548" customFormat="1">
      <c r="C450" s="1295"/>
      <c r="G450" s="1296" t="s">
        <v>1381</v>
      </c>
      <c r="H450" s="1294"/>
      <c r="I450" s="1297"/>
      <c r="J450" s="1294" t="s">
        <v>3643</v>
      </c>
      <c r="L450" s="1297"/>
      <c r="N450" s="1343"/>
      <c r="O450" s="1344"/>
      <c r="P450" s="1344"/>
    </row>
    <row r="451" spans="1:16" s="548" customFormat="1">
      <c r="C451" s="1295"/>
      <c r="G451" s="1296" t="s">
        <v>1561</v>
      </c>
      <c r="H451" s="1294"/>
      <c r="I451" s="1297"/>
      <c r="J451" s="1294" t="s">
        <v>3644</v>
      </c>
      <c r="L451" s="1297"/>
      <c r="N451" s="1343"/>
      <c r="O451" s="1344"/>
      <c r="P451" s="1344"/>
    </row>
    <row r="452" spans="1:16" s="548" customFormat="1">
      <c r="C452" s="1295"/>
      <c r="G452" s="1296" t="s">
        <v>1059</v>
      </c>
      <c r="H452" s="1294"/>
      <c r="I452" s="1297"/>
      <c r="J452" s="1294" t="s">
        <v>3645</v>
      </c>
      <c r="L452" s="1297"/>
      <c r="N452" s="1343"/>
      <c r="O452" s="1344"/>
      <c r="P452" s="1344"/>
    </row>
    <row r="453" spans="1:16" s="548" customFormat="1">
      <c r="G453" s="1296" t="s">
        <v>1824</v>
      </c>
      <c r="H453" s="1294"/>
      <c r="I453" s="1297"/>
      <c r="J453" s="1294" t="s">
        <v>3646</v>
      </c>
      <c r="L453" s="1297"/>
      <c r="N453" s="1343"/>
      <c r="O453" s="1344"/>
      <c r="P453" s="1344"/>
    </row>
    <row r="454" spans="1:16" s="548" customFormat="1">
      <c r="G454" s="1296" t="s">
        <v>2575</v>
      </c>
      <c r="H454" s="1294"/>
      <c r="I454" s="1297"/>
      <c r="J454" s="1294" t="s">
        <v>3647</v>
      </c>
      <c r="L454" s="1297"/>
      <c r="N454" s="1343"/>
      <c r="O454" s="1344"/>
      <c r="P454" s="1344"/>
    </row>
    <row r="455" spans="1:16" s="548" customFormat="1">
      <c r="A455" s="1292" t="s">
        <v>2914</v>
      </c>
      <c r="G455" s="1296" t="s">
        <v>2136</v>
      </c>
      <c r="H455" s="1294"/>
      <c r="I455" s="1297"/>
      <c r="J455" s="1294" t="s">
        <v>3648</v>
      </c>
      <c r="L455" s="1297"/>
      <c r="N455" s="1343"/>
      <c r="O455" s="1344"/>
      <c r="P455" s="1344"/>
    </row>
    <row r="456" spans="1:16" s="548" customFormat="1">
      <c r="A456" s="1292" t="s">
        <v>2947</v>
      </c>
      <c r="G456" s="1296" t="s">
        <v>625</v>
      </c>
      <c r="H456" s="1294"/>
      <c r="I456" s="1297"/>
      <c r="J456" s="1294" t="s">
        <v>3649</v>
      </c>
      <c r="L456" s="1297"/>
      <c r="N456" s="1343"/>
      <c r="O456" s="1344"/>
      <c r="P456" s="1344"/>
    </row>
    <row r="457" spans="1:16" s="548" customFormat="1">
      <c r="A457" s="1295" t="s">
        <v>3581</v>
      </c>
      <c r="D457" s="1298"/>
      <c r="E457" s="1299">
        <v>3</v>
      </c>
      <c r="G457" s="1296" t="s">
        <v>348</v>
      </c>
      <c r="H457" s="1294"/>
      <c r="I457" s="1297"/>
      <c r="J457" s="1294"/>
      <c r="L457" s="1297"/>
      <c r="N457" s="1343"/>
      <c r="O457" s="1344"/>
      <c r="P457" s="1344"/>
    </row>
    <row r="458" spans="1:16" s="548" customFormat="1">
      <c r="A458" s="1295" t="s">
        <v>3582</v>
      </c>
      <c r="D458" s="1298"/>
      <c r="E458" s="1299">
        <v>2</v>
      </c>
      <c r="G458" s="1296" t="s">
        <v>906</v>
      </c>
      <c r="H458" s="1294"/>
      <c r="I458" s="1297"/>
      <c r="J458" s="1294"/>
      <c r="L458" s="1297"/>
      <c r="N458" s="1343"/>
      <c r="O458" s="1344"/>
      <c r="P458" s="1344"/>
    </row>
    <row r="459" spans="1:16" s="548" customFormat="1">
      <c r="A459" s="1295" t="s">
        <v>3583</v>
      </c>
      <c r="D459" s="1298"/>
      <c r="E459" s="1299">
        <v>10</v>
      </c>
      <c r="G459" s="1296" t="s">
        <v>1998</v>
      </c>
      <c r="H459" s="1294"/>
      <c r="I459" s="1297"/>
      <c r="J459" s="1294"/>
      <c r="L459" s="1297"/>
      <c r="N459" s="1343"/>
      <c r="O459" s="1344"/>
      <c r="P459" s="1344"/>
    </row>
    <row r="460" spans="1:16" s="548" customFormat="1">
      <c r="A460" s="1295" t="s">
        <v>2948</v>
      </c>
      <c r="D460" s="1298"/>
      <c r="E460" s="1298"/>
      <c r="G460" s="1296" t="s">
        <v>472</v>
      </c>
      <c r="H460" s="1294"/>
      <c r="I460" s="1297"/>
      <c r="J460" s="1294"/>
      <c r="L460" s="1297"/>
      <c r="N460" s="1343"/>
      <c r="O460" s="1344"/>
      <c r="P460" s="1344"/>
    </row>
    <row r="461" spans="1:16" s="548" customFormat="1">
      <c r="C461" s="1295"/>
      <c r="G461" s="1296" t="s">
        <v>3982</v>
      </c>
      <c r="H461" s="1294"/>
      <c r="I461" s="1297"/>
      <c r="J461" s="1294"/>
      <c r="L461" s="1297"/>
      <c r="N461" s="1343"/>
      <c r="O461" s="1344"/>
      <c r="P461" s="1344"/>
    </row>
    <row r="462" spans="1:16" s="548" customFormat="1">
      <c r="C462" s="1295"/>
      <c r="G462" s="1296" t="s">
        <v>243</v>
      </c>
      <c r="H462" s="1294"/>
      <c r="I462" s="1297"/>
      <c r="J462" s="1294"/>
      <c r="L462" s="1297"/>
      <c r="N462" s="1343"/>
      <c r="O462" s="1344"/>
      <c r="P462" s="1344"/>
    </row>
    <row r="463" spans="1:16" s="548" customFormat="1">
      <c r="C463" s="1295"/>
      <c r="G463" s="1296" t="s">
        <v>1267</v>
      </c>
      <c r="H463" s="1297"/>
      <c r="I463" s="1294"/>
      <c r="J463" s="1294"/>
      <c r="L463" s="1297"/>
      <c r="N463" s="1343"/>
      <c r="O463" s="1344"/>
      <c r="P463" s="1344"/>
    </row>
    <row r="464" spans="1:16" s="548" customFormat="1">
      <c r="C464" s="1295"/>
      <c r="G464" s="1296" t="s">
        <v>1269</v>
      </c>
      <c r="H464" s="1297"/>
      <c r="I464" s="1294"/>
      <c r="J464" s="1294"/>
      <c r="L464" s="1297"/>
      <c r="N464" s="1343"/>
      <c r="O464" s="1344"/>
      <c r="P464" s="1344"/>
    </row>
    <row r="465" spans="1:16" s="548" customFormat="1">
      <c r="G465" s="1296" t="s">
        <v>1696</v>
      </c>
      <c r="H465" s="1297"/>
      <c r="I465" s="1294"/>
      <c r="J465" s="1294"/>
      <c r="L465" s="1297"/>
      <c r="N465" s="1343"/>
      <c r="O465" s="1344"/>
      <c r="P465" s="1344"/>
    </row>
    <row r="466" spans="1:16" s="548" customFormat="1">
      <c r="G466" s="1296" t="s">
        <v>1021</v>
      </c>
      <c r="H466" s="1297"/>
      <c r="I466" s="1294"/>
      <c r="J466" s="1294"/>
      <c r="L466" s="1297"/>
      <c r="N466" s="1343"/>
      <c r="O466" s="1344"/>
      <c r="P466" s="1344"/>
    </row>
    <row r="467" spans="1:16" s="548" customFormat="1">
      <c r="G467" s="1296" t="s">
        <v>595</v>
      </c>
      <c r="H467" s="1297"/>
      <c r="I467" s="1294"/>
      <c r="J467" s="1294"/>
      <c r="L467" s="1297"/>
      <c r="N467" s="1343"/>
      <c r="O467" s="1344"/>
      <c r="P467" s="1344"/>
    </row>
    <row r="468" spans="1:16" s="548" customFormat="1">
      <c r="G468" s="1296" t="s">
        <v>1697</v>
      </c>
      <c r="H468" s="1297"/>
      <c r="I468" s="1294"/>
      <c r="J468" s="1294"/>
      <c r="L468" s="1297"/>
      <c r="N468" s="1343"/>
      <c r="O468" s="1344"/>
      <c r="P468" s="1344"/>
    </row>
    <row r="469" spans="1:16" s="548" customFormat="1">
      <c r="G469" s="1296" t="s">
        <v>1743</v>
      </c>
      <c r="H469" s="1297"/>
      <c r="I469" s="1294"/>
      <c r="J469" s="1294"/>
      <c r="L469" s="1297"/>
      <c r="N469" s="1343"/>
      <c r="O469" s="1344"/>
      <c r="P469" s="1344"/>
    </row>
    <row r="470" spans="1:16" s="548" customFormat="1">
      <c r="D470" s="1300"/>
      <c r="G470" s="1296" t="s">
        <v>1806</v>
      </c>
      <c r="H470" s="1297"/>
      <c r="I470" s="1294"/>
      <c r="J470" s="1294"/>
      <c r="L470" s="1297"/>
      <c r="N470" s="1343"/>
      <c r="O470" s="1344"/>
      <c r="P470" s="1344"/>
    </row>
    <row r="471" spans="1:16" s="172" customFormat="1">
      <c r="A471" s="548"/>
      <c r="B471" s="548"/>
      <c r="C471" s="548"/>
      <c r="D471" s="1300"/>
      <c r="E471" s="548"/>
      <c r="F471" s="548"/>
      <c r="G471" s="1296" t="s">
        <v>3604</v>
      </c>
      <c r="H471" s="1297"/>
      <c r="I471" s="1294"/>
      <c r="J471" s="1294"/>
      <c r="K471" s="548"/>
      <c r="L471" s="1297"/>
      <c r="M471" s="548"/>
      <c r="N471" s="130"/>
      <c r="O471" s="1805"/>
      <c r="P471" s="1805"/>
    </row>
    <row r="472" spans="1:16" s="172" customFormat="1">
      <c r="A472" s="548"/>
      <c r="B472" s="548"/>
      <c r="C472" s="548"/>
      <c r="D472" s="1301"/>
      <c r="E472" s="548"/>
      <c r="F472" s="548"/>
      <c r="G472" s="1296" t="s">
        <v>853</v>
      </c>
      <c r="H472" s="1297"/>
      <c r="I472" s="1294"/>
      <c r="J472" s="1294"/>
      <c r="K472" s="548"/>
      <c r="L472" s="1297"/>
      <c r="M472" s="548"/>
      <c r="N472" s="130"/>
      <c r="O472" s="1805"/>
      <c r="P472" s="1805"/>
    </row>
    <row r="473" spans="1:16" s="172" customFormat="1">
      <c r="A473" s="548"/>
      <c r="B473" s="548"/>
      <c r="C473" s="548"/>
      <c r="D473" s="1301"/>
      <c r="E473" s="1301"/>
      <c r="F473" s="548"/>
      <c r="G473" s="1296" t="s">
        <v>184</v>
      </c>
      <c r="H473" s="1297"/>
      <c r="I473" s="1294"/>
      <c r="J473" s="1294"/>
      <c r="K473" s="548"/>
      <c r="L473" s="1297"/>
      <c r="M473" s="548"/>
      <c r="N473" s="130"/>
      <c r="O473" s="1805"/>
      <c r="P473" s="1805"/>
    </row>
    <row r="474" spans="1:16" s="172" customFormat="1">
      <c r="A474" s="548"/>
      <c r="B474" s="548"/>
      <c r="C474" s="548"/>
      <c r="D474" s="548"/>
      <c r="E474" s="548"/>
      <c r="F474" s="548"/>
      <c r="G474" s="1296" t="s">
        <v>540</v>
      </c>
      <c r="H474" s="1297"/>
      <c r="I474" s="1294"/>
      <c r="J474" s="1294"/>
      <c r="K474" s="548"/>
      <c r="L474" s="1297"/>
      <c r="M474" s="548"/>
      <c r="N474" s="130"/>
      <c r="O474" s="1805"/>
      <c r="P474" s="1805"/>
    </row>
    <row r="475" spans="1:16" s="172" customFormat="1">
      <c r="A475" s="548"/>
      <c r="B475" s="548"/>
      <c r="C475" s="548"/>
      <c r="D475" s="548"/>
      <c r="E475" s="548"/>
      <c r="F475" s="548"/>
      <c r="G475" s="1296" t="s">
        <v>548</v>
      </c>
      <c r="H475" s="1297"/>
      <c r="I475" s="1294"/>
      <c r="J475" s="1294"/>
      <c r="K475" s="548"/>
      <c r="L475" s="1297"/>
      <c r="M475" s="548"/>
      <c r="N475" s="130"/>
      <c r="O475" s="1805"/>
      <c r="P475" s="1805"/>
    </row>
    <row r="476" spans="1:16" s="172" customFormat="1" ht="13.5">
      <c r="A476" s="548"/>
      <c r="B476" s="548"/>
      <c r="C476" s="1300"/>
      <c r="D476" s="548"/>
      <c r="E476" s="548"/>
      <c r="F476" s="548"/>
      <c r="G476" s="1296" t="s">
        <v>561</v>
      </c>
      <c r="H476" s="1302"/>
      <c r="I476" s="1294"/>
      <c r="J476" s="1294"/>
      <c r="K476" s="548"/>
      <c r="L476" s="1297"/>
      <c r="M476" s="548"/>
      <c r="N476" s="130"/>
      <c r="O476" s="1805"/>
      <c r="P476" s="1805"/>
    </row>
    <row r="477" spans="1:16" s="172" customFormat="1" ht="13.5">
      <c r="A477" s="548"/>
      <c r="B477" s="548"/>
      <c r="C477" s="1300"/>
      <c r="D477" s="548"/>
      <c r="E477" s="548"/>
      <c r="F477" s="548"/>
      <c r="G477" s="1296" t="s">
        <v>1694</v>
      </c>
      <c r="H477" s="1302"/>
      <c r="I477" s="1294"/>
      <c r="J477" s="1294"/>
      <c r="K477" s="548"/>
      <c r="L477" s="1297"/>
      <c r="M477" s="548"/>
      <c r="N477" s="130"/>
      <c r="O477" s="1805"/>
      <c r="P477" s="1805"/>
    </row>
    <row r="478" spans="1:16" s="172" customFormat="1" ht="13.5">
      <c r="A478" s="548"/>
      <c r="B478" s="548"/>
      <c r="C478" s="1300"/>
      <c r="D478" s="548"/>
      <c r="E478" s="548"/>
      <c r="F478" s="548"/>
      <c r="G478" s="1296" t="s">
        <v>2173</v>
      </c>
      <c r="H478" s="1302"/>
      <c r="I478" s="1294"/>
      <c r="J478" s="1294"/>
      <c r="K478" s="548"/>
      <c r="L478" s="1297"/>
      <c r="M478" s="548"/>
      <c r="N478" s="130"/>
      <c r="O478" s="1805"/>
      <c r="P478" s="1805"/>
    </row>
    <row r="479" spans="1:16" s="172" customFormat="1">
      <c r="A479" s="548"/>
      <c r="B479" s="548"/>
      <c r="C479" s="1300"/>
      <c r="D479" s="548"/>
      <c r="E479" s="548"/>
      <c r="F479" s="548"/>
      <c r="G479" s="1296" t="s">
        <v>2328</v>
      </c>
      <c r="H479" s="1294"/>
      <c r="I479" s="1294"/>
      <c r="J479" s="1294"/>
      <c r="K479" s="548"/>
      <c r="L479" s="1297"/>
      <c r="M479" s="548"/>
      <c r="N479" s="130"/>
      <c r="O479" s="1805"/>
      <c r="P479" s="1805"/>
    </row>
    <row r="480" spans="1:16" s="172" customFormat="1">
      <c r="A480" s="548"/>
      <c r="B480" s="548"/>
      <c r="C480" s="1300"/>
      <c r="D480" s="548"/>
      <c r="E480" s="548"/>
      <c r="F480" s="548"/>
      <c r="G480" s="1296" t="s">
        <v>412</v>
      </c>
      <c r="H480" s="1294"/>
      <c r="I480" s="1294"/>
      <c r="J480" s="1294"/>
      <c r="K480" s="548"/>
      <c r="L480" s="1297"/>
      <c r="M480" s="548"/>
      <c r="N480" s="130"/>
      <c r="O480" s="1805"/>
      <c r="P480" s="1805"/>
    </row>
    <row r="481" spans="1:16" s="172" customFormat="1">
      <c r="A481" s="548"/>
      <c r="B481" s="548"/>
      <c r="C481" s="1300"/>
      <c r="D481" s="548"/>
      <c r="E481" s="548"/>
      <c r="F481" s="548"/>
      <c r="G481" s="1296" t="s">
        <v>2200</v>
      </c>
      <c r="H481" s="1294"/>
      <c r="I481" s="1294"/>
      <c r="J481" s="1294"/>
      <c r="K481" s="548"/>
      <c r="L481" s="1303"/>
      <c r="M481" s="548"/>
      <c r="N481" s="130"/>
      <c r="O481" s="1805"/>
      <c r="P481" s="1805"/>
    </row>
    <row r="482" spans="1:16" s="172" customFormat="1" ht="13.5">
      <c r="A482" s="548"/>
      <c r="B482" s="548"/>
      <c r="C482" s="1300"/>
      <c r="D482" s="548"/>
      <c r="E482" s="548"/>
      <c r="F482" s="548"/>
      <c r="G482" s="1296" t="s">
        <v>1496</v>
      </c>
      <c r="H482" s="1294"/>
      <c r="I482" s="1294"/>
      <c r="J482" s="1294"/>
      <c r="K482" s="548"/>
      <c r="L482" s="1302"/>
      <c r="M482" s="548"/>
      <c r="N482" s="130"/>
      <c r="O482" s="1805"/>
      <c r="P482" s="1805"/>
    </row>
    <row r="483" spans="1:16" s="172" customFormat="1" ht="13.5">
      <c r="A483" s="548"/>
      <c r="B483" s="548"/>
      <c r="C483" s="1301"/>
      <c r="D483" s="548"/>
      <c r="E483" s="548"/>
      <c r="F483" s="548"/>
      <c r="G483" s="1296" t="s">
        <v>1613</v>
      </c>
      <c r="H483" s="1294"/>
      <c r="I483" s="1294"/>
      <c r="J483" s="1294"/>
      <c r="K483" s="548"/>
      <c r="L483" s="1302"/>
      <c r="M483" s="548"/>
      <c r="N483" s="130"/>
      <c r="O483" s="1805"/>
      <c r="P483" s="1805"/>
    </row>
    <row r="484" spans="1:16" s="172" customFormat="1" ht="13.5">
      <c r="A484" s="548"/>
      <c r="B484" s="548"/>
      <c r="C484" s="1301"/>
      <c r="D484" s="548"/>
      <c r="E484" s="548"/>
      <c r="F484" s="548"/>
      <c r="G484" s="1296" t="s">
        <v>256</v>
      </c>
      <c r="H484" s="1294"/>
      <c r="I484" s="1294"/>
      <c r="J484" s="1294"/>
      <c r="K484" s="548"/>
      <c r="L484" s="1302"/>
      <c r="M484" s="548"/>
      <c r="N484" s="130"/>
      <c r="O484" s="1805"/>
      <c r="P484" s="1805"/>
    </row>
    <row r="485" spans="1:16" s="172" customFormat="1" ht="13.5">
      <c r="A485" s="548"/>
      <c r="B485" s="548"/>
      <c r="C485" s="548"/>
      <c r="D485" s="548"/>
      <c r="E485" s="548"/>
      <c r="F485" s="548"/>
      <c r="G485" s="1296" t="s">
        <v>69</v>
      </c>
      <c r="H485" s="1294"/>
      <c r="I485" s="1294"/>
      <c r="J485" s="1294"/>
      <c r="K485" s="548"/>
      <c r="L485" s="1302"/>
      <c r="M485" s="548"/>
      <c r="N485" s="130"/>
      <c r="O485" s="1805"/>
      <c r="P485" s="1805"/>
    </row>
    <row r="486" spans="1:16" s="172" customFormat="1">
      <c r="A486" s="548"/>
      <c r="B486" s="548"/>
      <c r="C486" s="548"/>
      <c r="D486" s="548"/>
      <c r="E486" s="548"/>
      <c r="F486" s="548"/>
      <c r="G486" s="1296" t="s">
        <v>1080</v>
      </c>
      <c r="H486" s="1294"/>
      <c r="I486" s="1294"/>
      <c r="J486" s="1294"/>
      <c r="K486" s="1294"/>
      <c r="L486" s="548"/>
      <c r="M486" s="548"/>
      <c r="N486" s="130"/>
      <c r="O486" s="1805"/>
      <c r="P486" s="1805"/>
    </row>
    <row r="487" spans="1:16" s="172" customFormat="1">
      <c r="A487" s="548"/>
      <c r="B487" s="548"/>
      <c r="C487" s="548"/>
      <c r="D487" s="548"/>
      <c r="E487" s="548"/>
      <c r="F487" s="548"/>
      <c r="G487" s="1296" t="s">
        <v>2348</v>
      </c>
      <c r="H487" s="1294"/>
      <c r="I487" s="1294"/>
      <c r="J487" s="1294"/>
      <c r="K487" s="1294"/>
      <c r="L487" s="548"/>
      <c r="M487" s="548"/>
      <c r="N487" s="130"/>
      <c r="O487" s="1805"/>
      <c r="P487" s="1805"/>
    </row>
    <row r="488" spans="1:16" s="172" customFormat="1" ht="13.5">
      <c r="A488" s="548"/>
      <c r="B488" s="548"/>
      <c r="C488" s="548"/>
      <c r="D488" s="548"/>
      <c r="E488" s="548"/>
      <c r="F488" s="548"/>
      <c r="G488" s="1304" t="s">
        <v>2242</v>
      </c>
      <c r="H488" s="1294"/>
      <c r="I488" s="1294"/>
      <c r="J488" s="1294"/>
      <c r="K488" s="1294"/>
      <c r="L488" s="548"/>
      <c r="M488" s="548"/>
      <c r="N488" s="130"/>
      <c r="O488" s="1805"/>
      <c r="P488" s="1805"/>
    </row>
    <row r="489" spans="1:16" s="172" customFormat="1" ht="13.5">
      <c r="A489" s="548"/>
      <c r="B489" s="548"/>
      <c r="C489" s="548"/>
      <c r="D489" s="548"/>
      <c r="E489" s="548"/>
      <c r="F489" s="548"/>
      <c r="G489" s="1304" t="s">
        <v>1698</v>
      </c>
      <c r="H489" s="1294"/>
      <c r="I489" s="1294"/>
      <c r="J489" s="1294"/>
      <c r="K489" s="1294"/>
      <c r="L489" s="548"/>
      <c r="M489" s="548"/>
      <c r="N489" s="130"/>
      <c r="O489" s="1805"/>
      <c r="P489" s="1805"/>
    </row>
    <row r="490" spans="1:16" s="172" customFormat="1" ht="13.5">
      <c r="A490" s="548"/>
      <c r="B490" s="548"/>
      <c r="C490" s="548"/>
      <c r="D490" s="548"/>
      <c r="E490" s="548"/>
      <c r="F490" s="548"/>
      <c r="G490" s="1304" t="s">
        <v>2340</v>
      </c>
      <c r="H490" s="1294"/>
      <c r="I490" s="1294"/>
      <c r="J490" s="1294"/>
      <c r="K490" s="1294"/>
      <c r="L490" s="548"/>
      <c r="M490" s="548"/>
      <c r="N490" s="130"/>
      <c r="O490" s="1805"/>
      <c r="P490" s="1805"/>
    </row>
    <row r="491" spans="1:16" s="172" customFormat="1" ht="13.5">
      <c r="A491" s="548"/>
      <c r="B491" s="548"/>
      <c r="C491" s="548"/>
      <c r="D491" s="548"/>
      <c r="E491" s="548"/>
      <c r="F491" s="548"/>
      <c r="G491" s="1304" t="s">
        <v>2205</v>
      </c>
      <c r="H491" s="1294"/>
      <c r="I491" s="1294"/>
      <c r="J491" s="1294"/>
      <c r="K491" s="1294"/>
      <c r="L491" s="548"/>
      <c r="M491" s="548"/>
      <c r="N491" s="130"/>
      <c r="O491" s="1805"/>
      <c r="P491" s="1805"/>
    </row>
    <row r="492" spans="1:16" s="172" customFormat="1" ht="13.5">
      <c r="A492" s="548"/>
      <c r="B492" s="548"/>
      <c r="C492" s="548"/>
      <c r="D492" s="548"/>
      <c r="E492" s="548"/>
      <c r="F492" s="548"/>
      <c r="G492" s="1304" t="s">
        <v>1699</v>
      </c>
      <c r="H492" s="1294"/>
      <c r="I492" s="1294"/>
      <c r="J492" s="1294"/>
      <c r="K492" s="1294"/>
      <c r="L492" s="548"/>
      <c r="M492" s="548"/>
      <c r="N492" s="130"/>
      <c r="O492" s="1805"/>
      <c r="P492" s="1805"/>
    </row>
    <row r="493" spans="1:16" s="172" customFormat="1" ht="13.5">
      <c r="A493" s="548"/>
      <c r="B493" s="548"/>
      <c r="C493" s="548"/>
      <c r="D493" s="548"/>
      <c r="E493" s="548"/>
      <c r="F493" s="548"/>
      <c r="G493" s="1304" t="s">
        <v>2415</v>
      </c>
      <c r="H493" s="1294"/>
      <c r="I493" s="1294"/>
      <c r="J493" s="1294"/>
      <c r="K493" s="1294"/>
      <c r="L493" s="548"/>
      <c r="M493" s="548"/>
      <c r="N493" s="130"/>
      <c r="O493" s="1805"/>
      <c r="P493" s="1805"/>
    </row>
    <row r="494" spans="1:16" s="172" customFormat="1" ht="13.5">
      <c r="A494" s="548"/>
      <c r="B494" s="548"/>
      <c r="C494" s="548"/>
      <c r="D494" s="548"/>
      <c r="E494" s="548"/>
      <c r="F494" s="548"/>
      <c r="G494" s="1304" t="s">
        <v>1750</v>
      </c>
      <c r="H494" s="1294"/>
      <c r="I494" s="1294"/>
      <c r="J494" s="1294"/>
      <c r="K494" s="1294"/>
      <c r="L494" s="548"/>
      <c r="M494" s="548"/>
      <c r="N494" s="130"/>
      <c r="O494" s="1805"/>
      <c r="P494" s="1805"/>
    </row>
    <row r="495" spans="1:16" s="172" customFormat="1" ht="13.5">
      <c r="A495" s="548"/>
      <c r="B495" s="548"/>
      <c r="C495" s="548"/>
      <c r="D495" s="548"/>
      <c r="E495" s="548"/>
      <c r="F495" s="548"/>
      <c r="G495" s="1302" t="s">
        <v>2341</v>
      </c>
      <c r="H495" s="1294"/>
      <c r="I495" s="1294"/>
      <c r="J495" s="1294"/>
      <c r="K495" s="1294"/>
      <c r="L495" s="548"/>
      <c r="M495" s="548"/>
      <c r="N495" s="130"/>
      <c r="O495" s="1805"/>
      <c r="P495" s="1805"/>
    </row>
    <row r="496" spans="1:16" s="172" customFormat="1" ht="13.5">
      <c r="A496" s="548"/>
      <c r="B496" s="548"/>
      <c r="C496" s="548"/>
      <c r="D496" s="548"/>
      <c r="E496" s="548"/>
      <c r="F496" s="548"/>
      <c r="G496" s="1302" t="s">
        <v>1760</v>
      </c>
      <c r="H496" s="1294"/>
      <c r="I496" s="1294"/>
      <c r="J496" s="1294"/>
      <c r="K496" s="1294"/>
      <c r="L496" s="548"/>
      <c r="M496" s="548"/>
      <c r="N496" s="130"/>
      <c r="O496" s="1805"/>
      <c r="P496" s="1805"/>
    </row>
    <row r="497" spans="1:19" s="172" customFormat="1" ht="13.5">
      <c r="A497" s="548"/>
      <c r="B497" s="548"/>
      <c r="C497" s="548"/>
      <c r="D497" s="548"/>
      <c r="E497" s="548"/>
      <c r="F497" s="548"/>
      <c r="G497" s="1302" t="s">
        <v>1765</v>
      </c>
      <c r="H497" s="548"/>
      <c r="I497" s="548"/>
      <c r="J497" s="1294"/>
      <c r="K497" s="548"/>
      <c r="L497" s="548"/>
      <c r="M497" s="548"/>
      <c r="N497" s="130"/>
      <c r="O497" s="1805"/>
      <c r="P497" s="1805"/>
    </row>
    <row r="498" spans="1:19" s="172" customFormat="1" ht="13.5">
      <c r="A498" s="548"/>
      <c r="B498" s="548"/>
      <c r="C498" s="548"/>
      <c r="D498" s="548"/>
      <c r="E498" s="548"/>
      <c r="F498" s="548"/>
      <c r="G498" s="1302" t="s">
        <v>1768</v>
      </c>
      <c r="H498" s="548"/>
      <c r="I498" s="548"/>
      <c r="J498" s="548"/>
      <c r="K498" s="548"/>
      <c r="L498" s="548"/>
      <c r="M498" s="548"/>
      <c r="N498" s="130"/>
      <c r="O498" s="1805"/>
      <c r="P498" s="1805"/>
    </row>
    <row r="499" spans="1:19" s="172" customFormat="1" ht="13.5">
      <c r="A499" s="548"/>
      <c r="B499" s="548"/>
      <c r="C499" s="548"/>
      <c r="D499" s="548"/>
      <c r="E499" s="548"/>
      <c r="F499" s="548"/>
      <c r="G499" s="1302" t="s">
        <v>1773</v>
      </c>
      <c r="H499" s="548"/>
      <c r="I499" s="548"/>
      <c r="J499" s="548"/>
      <c r="K499" s="548"/>
      <c r="L499" s="548"/>
      <c r="M499" s="548"/>
      <c r="N499" s="130"/>
      <c r="O499" s="1805"/>
      <c r="P499" s="1805"/>
    </row>
    <row r="500" spans="1:19" s="172" customFormat="1" ht="13.5">
      <c r="A500" s="548"/>
      <c r="B500" s="548"/>
      <c r="C500" s="548"/>
      <c r="D500" s="548"/>
      <c r="E500" s="548"/>
      <c r="F500" s="548"/>
      <c r="G500" s="1302" t="s">
        <v>108</v>
      </c>
      <c r="H500" s="548"/>
      <c r="I500" s="548"/>
      <c r="J500" s="548"/>
      <c r="K500" s="548"/>
      <c r="L500" s="548"/>
      <c r="M500" s="548"/>
      <c r="N500" s="130"/>
      <c r="O500" s="1805"/>
      <c r="P500" s="1805"/>
    </row>
    <row r="501" spans="1:19" s="172" customFormat="1" ht="13.5">
      <c r="A501" s="548"/>
      <c r="B501" s="548"/>
      <c r="C501" s="548"/>
      <c r="D501" s="548"/>
      <c r="E501" s="548"/>
      <c r="F501" s="548"/>
      <c r="G501" s="1302" t="s">
        <v>309</v>
      </c>
      <c r="H501" s="548"/>
      <c r="I501" s="548"/>
      <c r="J501" s="548"/>
      <c r="K501" s="548"/>
      <c r="L501" s="548"/>
      <c r="M501" s="548"/>
      <c r="N501" s="130"/>
      <c r="O501" s="1805"/>
      <c r="P501" s="1805"/>
    </row>
    <row r="502" spans="1:19" ht="13.5">
      <c r="A502" s="548"/>
      <c r="B502" s="548"/>
      <c r="C502" s="548"/>
      <c r="D502" s="548"/>
      <c r="E502" s="548"/>
      <c r="F502" s="548"/>
      <c r="G502" s="1305" t="s">
        <v>310</v>
      </c>
      <c r="H502" s="548"/>
      <c r="I502" s="548"/>
      <c r="J502" s="548"/>
      <c r="K502" s="548"/>
      <c r="L502" s="548"/>
      <c r="M502" s="548"/>
      <c r="N502" s="130"/>
      <c r="Q502" s="172"/>
      <c r="R502" s="172"/>
      <c r="S502" s="172"/>
    </row>
    <row r="503" spans="1:19" ht="13.5">
      <c r="A503" s="548"/>
      <c r="B503" s="548"/>
      <c r="C503" s="548"/>
      <c r="D503" s="548"/>
      <c r="E503" s="548"/>
      <c r="F503" s="548"/>
      <c r="G503" s="1305" t="s">
        <v>1600</v>
      </c>
      <c r="H503" s="548"/>
      <c r="I503" s="548"/>
      <c r="J503" s="548"/>
      <c r="K503" s="548"/>
      <c r="L503" s="548"/>
      <c r="M503" s="548"/>
      <c r="N503" s="130"/>
      <c r="Q503" s="172"/>
      <c r="R503" s="172"/>
      <c r="S503" s="172"/>
    </row>
    <row r="504" spans="1:19">
      <c r="A504" s="548"/>
      <c r="B504" s="548"/>
      <c r="C504" s="548"/>
      <c r="D504" s="548"/>
      <c r="E504" s="548"/>
      <c r="F504" s="548"/>
      <c r="G504" s="548"/>
      <c r="H504" s="548"/>
      <c r="I504" s="548"/>
      <c r="J504" s="548"/>
      <c r="K504" s="548"/>
      <c r="L504" s="548"/>
      <c r="M504" s="548"/>
    </row>
    <row r="505" spans="1:19">
      <c r="A505" s="548"/>
      <c r="B505" s="548"/>
      <c r="C505" s="548"/>
      <c r="D505" s="548"/>
      <c r="E505" s="548"/>
      <c r="F505" s="548"/>
      <c r="G505" s="548"/>
      <c r="H505" s="548"/>
      <c r="I505" s="548"/>
      <c r="J505" s="548"/>
      <c r="K505" s="548"/>
      <c r="L505" s="548"/>
      <c r="M505" s="548"/>
    </row>
    <row r="506" spans="1:19">
      <c r="A506" s="548"/>
      <c r="B506" s="548"/>
      <c r="C506" s="548"/>
      <c r="D506" s="548"/>
      <c r="E506" s="548"/>
      <c r="F506" s="548"/>
      <c r="G506" s="548"/>
      <c r="H506" s="548"/>
      <c r="I506" s="548"/>
      <c r="J506" s="548"/>
      <c r="K506" s="548"/>
      <c r="L506" s="548"/>
      <c r="M506" s="548"/>
    </row>
    <row r="507" spans="1:19">
      <c r="A507" s="548"/>
      <c r="B507" s="548"/>
      <c r="C507" s="548"/>
      <c r="D507" s="548"/>
      <c r="E507" s="548"/>
      <c r="F507" s="548"/>
      <c r="G507" s="548"/>
      <c r="H507" s="548"/>
      <c r="I507" s="548"/>
      <c r="J507" s="548"/>
      <c r="K507" s="548"/>
      <c r="L507" s="548"/>
      <c r="M507" s="548"/>
    </row>
    <row r="508" spans="1:19">
      <c r="A508" s="548"/>
      <c r="B508" s="548"/>
      <c r="C508" s="548"/>
      <c r="D508" s="548"/>
      <c r="E508" s="548"/>
      <c r="F508" s="548"/>
      <c r="G508" s="548"/>
      <c r="H508" s="548"/>
      <c r="I508" s="548"/>
      <c r="J508" s="548"/>
      <c r="K508" s="548"/>
      <c r="L508" s="548"/>
      <c r="M508" s="548"/>
    </row>
  </sheetData>
  <sheetProtection algorithmName="SHA-512" hashValue="kyJQ+8HRrzbaR0kgYLKeInh0V2okq5npbhOAmhVRBrVFpSqYR0vtPAySQe1ADOBsCTBsQaokb0BfRKvaQNClkA==" saltValue="pUwQW5tpM6aqJ2BO51DR4w==" spinCount="100000" sheet="1" objects="1" scenarios="1" formatColumns="0" formatRows="0"/>
  <mergeCells count="299">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J176:K17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J340:K340"/>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5" t="s">
        <v>4176</v>
      </c>
    </row>
    <row r="2" spans="1:6" s="34" customFormat="1" ht="13.5" customHeight="1">
      <c r="A2" s="1153" t="str">
        <f>'Part I-Project Information'!$F$24</f>
        <v>Wheat Street Tower</v>
      </c>
    </row>
    <row r="3" spans="1:6" s="34" customFormat="1" ht="13.5" customHeight="1">
      <c r="A3" s="1153" t="str">
        <f>CONCATENATE('Part I-Project Information'!$F$28,", ", 'Part I-Project Information'!$J$29," County")</f>
        <v>Atlanta, Fulton County</v>
      </c>
    </row>
    <row r="4" spans="1:6" ht="6.75" customHeight="1"/>
    <row r="5" spans="1:6" ht="113.25" customHeight="1">
      <c r="A5" s="2463" t="s">
        <v>2792</v>
      </c>
      <c r="B5" s="2109" t="s">
        <v>2793</v>
      </c>
      <c r="C5" s="1837"/>
      <c r="D5" s="1837"/>
      <c r="E5" s="1837"/>
      <c r="F5" s="1837"/>
    </row>
    <row r="6" spans="1:6" ht="6.6" customHeight="1">
      <c r="A6" s="2463"/>
      <c r="B6" s="2109"/>
      <c r="C6" s="1837"/>
      <c r="D6" s="1837"/>
      <c r="E6" s="1837"/>
      <c r="F6" s="1837"/>
    </row>
    <row r="7" spans="1:6" ht="134.25" customHeight="1">
      <c r="A7" s="2463"/>
      <c r="C7" s="1151"/>
    </row>
    <row r="8" spans="1:6" ht="6.6" customHeight="1">
      <c r="A8" s="2463"/>
    </row>
    <row r="9" spans="1:6" ht="111" customHeight="1">
      <c r="A9" s="2463"/>
    </row>
    <row r="10" spans="1:6" ht="6.6" customHeight="1">
      <c r="A10" s="2463"/>
    </row>
    <row r="11" spans="1:6" ht="111" customHeight="1">
      <c r="A11" s="2463"/>
    </row>
    <row r="12" spans="1:6" ht="6.6" customHeight="1">
      <c r="A12" s="2463"/>
    </row>
    <row r="13" spans="1:6" ht="111" customHeight="1">
      <c r="A13" s="2463"/>
    </row>
    <row r="14" spans="1:6" ht="6.6" customHeight="1">
      <c r="A14" s="2463"/>
    </row>
    <row r="15" spans="1:6" ht="111" customHeight="1">
      <c r="A15" s="2463"/>
    </row>
    <row r="16" spans="1:6" ht="6.6" customHeight="1">
      <c r="A16" s="2463"/>
    </row>
    <row r="17" spans="1:1" ht="111" customHeight="1">
      <c r="A17" s="2463"/>
    </row>
    <row r="18" spans="1:1" ht="6.6" customHeight="1">
      <c r="A18" s="2463"/>
    </row>
    <row r="19" spans="1:1" ht="105.75" customHeight="1">
      <c r="A19" s="2463"/>
    </row>
    <row r="20" spans="1:1" ht="6.6" customHeight="1">
      <c r="A20" s="2463"/>
    </row>
    <row r="21" spans="1:1" ht="105.75" customHeight="1">
      <c r="A21" s="2463"/>
    </row>
    <row r="22" spans="1:1" ht="6.6" customHeight="1">
      <c r="A22" s="2463"/>
    </row>
    <row r="23" spans="1:1" ht="105.75" customHeight="1">
      <c r="A23" s="2463"/>
    </row>
    <row r="24" spans="1:1" ht="6.6" customHeight="1">
      <c r="A24" s="1152"/>
    </row>
  </sheetData>
  <sheetProtection algorithmName="SHA-512" hashValue="xNoiRzeViGk6tmTftIhpoSAY9IuV403u6yFAvwA6zss50fgLSE0WLs7BDf8dYoDHK7n8ma4mlfIgIs5WpRecDQ==" saltValue="wvqu27Mz5W45djYhwF90m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5" t="s">
        <v>3766</v>
      </c>
    </row>
    <row r="2" spans="1:6" s="34" customFormat="1" ht="13.5" customHeight="1">
      <c r="A2" s="1153" t="str">
        <f>'Part I-Project Information'!$F$24</f>
        <v>Wheat Street Tower</v>
      </c>
    </row>
    <row r="3" spans="1:6" s="34" customFormat="1" ht="13.5" customHeight="1">
      <c r="A3" s="1153" t="str">
        <f>CONCATENATE('Part I-Project Information'!$F$28,", ", 'Part I-Project Information'!$J$29," County")</f>
        <v>Atlanta, Fulton County</v>
      </c>
    </row>
    <row r="4" spans="1:6" s="34" customFormat="1" ht="13.5" customHeight="1">
      <c r="A4" s="1154" t="str">
        <f>CONCATENATE("Identified Complex Issue: ",'Part IX A-Scoring Criteria'!$I$290)</f>
        <v>Identified Complex Issue: &lt;&lt; Choose category in which to compete &gt;&gt;</v>
      </c>
    </row>
    <row r="5" spans="1:6" ht="6.75" customHeight="1"/>
    <row r="6" spans="1:6" ht="113.25" customHeight="1">
      <c r="A6" s="2463" t="s">
        <v>2792</v>
      </c>
      <c r="B6" s="2109" t="s">
        <v>2793</v>
      </c>
      <c r="C6" s="1837"/>
      <c r="D6" s="1837"/>
      <c r="E6" s="1837"/>
      <c r="F6" s="1837"/>
    </row>
    <row r="7" spans="1:6" ht="6.6" customHeight="1">
      <c r="A7" s="2463"/>
      <c r="B7" s="2109"/>
      <c r="C7" s="1837"/>
      <c r="D7" s="1837"/>
      <c r="E7" s="1837"/>
      <c r="F7" s="1837"/>
    </row>
    <row r="8" spans="1:6" ht="134.25" customHeight="1">
      <c r="A8" s="2463"/>
      <c r="C8" s="1151"/>
    </row>
    <row r="9" spans="1:6" ht="6.6" customHeight="1">
      <c r="A9" s="2463"/>
    </row>
    <row r="10" spans="1:6" ht="111" customHeight="1">
      <c r="A10" s="2463"/>
    </row>
    <row r="11" spans="1:6" ht="6.6" customHeight="1">
      <c r="A11" s="2463"/>
    </row>
    <row r="12" spans="1:6" ht="111" customHeight="1">
      <c r="A12" s="2463"/>
    </row>
    <row r="13" spans="1:6" ht="6.6" customHeight="1">
      <c r="A13" s="2463"/>
    </row>
    <row r="14" spans="1:6" ht="111" customHeight="1">
      <c r="A14" s="2463"/>
    </row>
    <row r="15" spans="1:6" ht="6.6" customHeight="1">
      <c r="A15" s="2463"/>
    </row>
    <row r="16" spans="1:6" ht="111" customHeight="1">
      <c r="A16" s="2463"/>
    </row>
    <row r="17" spans="1:1" ht="6.6" customHeight="1">
      <c r="A17" s="2463"/>
    </row>
    <row r="18" spans="1:1" ht="111" customHeight="1">
      <c r="A18" s="2463"/>
    </row>
    <row r="19" spans="1:1" ht="6.6" customHeight="1">
      <c r="A19" s="2463"/>
    </row>
    <row r="20" spans="1:1" ht="105.75" customHeight="1">
      <c r="A20" s="2463"/>
    </row>
    <row r="21" spans="1:1" ht="6.6" customHeight="1">
      <c r="A21" s="2463"/>
    </row>
    <row r="22" spans="1:1" ht="105.75" customHeight="1">
      <c r="A22" s="2463"/>
    </row>
    <row r="23" spans="1:1" ht="6.6" customHeight="1">
      <c r="A23" s="2463"/>
    </row>
    <row r="24" spans="1:1" ht="105.75" customHeight="1">
      <c r="A24" s="2463"/>
    </row>
    <row r="25" spans="1:1" ht="6.6" customHeight="1">
      <c r="A25" s="1152"/>
    </row>
  </sheetData>
  <sheetProtection algorithmName="SHA-512" hashValue="bixdUK1wpwO/aa6vrE5r1N7xKezpHH3fbnzDNX8LuJ3zKWfVPH/Oz3diPwpM1WRF3FKf0XQZaa8VZJe5vDushg==" saltValue="3z8hD2k7GDiVSso6xZEYg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4" customWidth="1"/>
    <col min="4" max="4" width="15.42578125" style="884" customWidth="1"/>
    <col min="5" max="5" width="4.7109375" style="884" customWidth="1"/>
    <col min="6" max="9" width="12.7109375" style="884" customWidth="1"/>
    <col min="10" max="10" width="5.140625" style="884" customWidth="1"/>
    <col min="11" max="16384" width="9.140625" style="884"/>
  </cols>
  <sheetData>
    <row r="1" spans="1:11" ht="15.75">
      <c r="A1" s="2337" t="s">
        <v>3072</v>
      </c>
      <c r="B1" s="2337"/>
      <c r="C1" s="2337"/>
      <c r="D1" s="2337"/>
      <c r="E1" s="2337"/>
      <c r="F1" s="2337"/>
      <c r="G1" s="2337"/>
      <c r="H1" s="2337"/>
      <c r="I1" s="2337"/>
      <c r="J1" s="2337"/>
    </row>
    <row r="2" spans="1:11" ht="15.75">
      <c r="A2" s="2337" t="str">
        <f>Overview!C8</f>
        <v>Wheat Street Tower</v>
      </c>
      <c r="B2" s="2337"/>
      <c r="C2" s="2337"/>
      <c r="D2" s="2337"/>
      <c r="E2" s="2337"/>
      <c r="F2" s="2337"/>
      <c r="G2" s="2337"/>
      <c r="H2" s="2337"/>
      <c r="I2" s="2337"/>
      <c r="J2" s="2337"/>
    </row>
    <row r="3" spans="1:11" ht="15.75">
      <c r="A3" s="2337" t="str">
        <f>'Subsidy Layering Memo'!F14</f>
        <v>Atlanta, Fulton</v>
      </c>
      <c r="B3" s="2337"/>
      <c r="C3" s="2337"/>
      <c r="D3" s="2337"/>
      <c r="E3" s="2337"/>
      <c r="F3" s="2337"/>
      <c r="G3" s="2337"/>
      <c r="H3" s="2337"/>
      <c r="I3" s="2337"/>
      <c r="J3" s="2337"/>
    </row>
    <row r="4" spans="1:11" ht="15.75">
      <c r="A4" s="2338" t="s">
        <v>3073</v>
      </c>
      <c r="B4" s="2337"/>
      <c r="C4" s="2337"/>
      <c r="D4" s="2337"/>
      <c r="E4" s="2337"/>
      <c r="F4" s="2337"/>
      <c r="G4" s="2337"/>
      <c r="H4" s="2337"/>
      <c r="I4" s="2337"/>
      <c r="J4" s="2337"/>
    </row>
    <row r="5" spans="1:11" ht="5.25" customHeight="1"/>
    <row r="6" spans="1:11" ht="5.25" customHeight="1"/>
    <row r="7" spans="1:11" ht="15.75">
      <c r="A7" s="2339" t="s">
        <v>3074</v>
      </c>
      <c r="B7" s="2339"/>
      <c r="C7" s="2340"/>
    </row>
    <row r="8" spans="1:11" ht="123" customHeight="1">
      <c r="A8" s="2333" t="s">
        <v>3597</v>
      </c>
      <c r="B8" s="2333"/>
      <c r="C8" s="2333"/>
      <c r="D8" s="2333"/>
      <c r="E8" s="2333"/>
      <c r="F8" s="2333"/>
      <c r="G8" s="2333"/>
      <c r="H8" s="2333"/>
      <c r="I8" s="2333"/>
      <c r="J8" s="2333"/>
      <c r="K8" s="885"/>
    </row>
    <row r="9" spans="1:11" ht="15.75">
      <c r="A9" s="886" t="s">
        <v>3075</v>
      </c>
    </row>
    <row r="10" spans="1:11" ht="31.5" customHeight="1">
      <c r="A10" s="2333" t="str">
        <f>'Subsidy Layering Memo'!A44</f>
        <v xml:space="preserve">Ownership entity:  (NAME) LP, a Georgia Limited Partnership, will be the ownership entity for the proposed project. </v>
      </c>
      <c r="B10" s="2334"/>
      <c r="C10" s="2334"/>
      <c r="D10" s="2334"/>
      <c r="E10" s="2334"/>
      <c r="F10" s="2334"/>
      <c r="G10" s="2334"/>
      <c r="H10" s="2334"/>
      <c r="I10" s="2334"/>
      <c r="J10" s="2333"/>
    </row>
    <row r="11" spans="1:11" ht="76.5" customHeight="1">
      <c r="A11" s="233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333"/>
      <c r="C11" s="2333"/>
      <c r="D11" s="2333"/>
      <c r="E11" s="2333"/>
      <c r="F11" s="2333"/>
      <c r="G11" s="2333"/>
      <c r="H11" s="2333"/>
      <c r="I11" s="2333"/>
      <c r="J11" s="2333"/>
    </row>
    <row r="12" spans="1:11" ht="62.25" customHeight="1">
      <c r="A12" s="233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333"/>
      <c r="C12" s="2333"/>
      <c r="D12" s="2333"/>
      <c r="E12" s="2333"/>
      <c r="F12" s="2333"/>
      <c r="G12" s="2333"/>
      <c r="H12" s="2333"/>
      <c r="I12" s="2333"/>
      <c r="J12" s="2333"/>
    </row>
    <row r="13" spans="1:11" ht="15.75">
      <c r="A13" s="886" t="s">
        <v>3076</v>
      </c>
      <c r="B13" s="887"/>
    </row>
    <row r="14" spans="1:11">
      <c r="A14" s="884" t="s">
        <v>3077</v>
      </c>
      <c r="E14" s="888" t="s">
        <v>3078</v>
      </c>
    </row>
    <row r="15" spans="1:11">
      <c r="A15" s="884" t="s">
        <v>3079</v>
      </c>
      <c r="D15" s="889">
        <f>Overview!C25</f>
        <v>11500000</v>
      </c>
    </row>
    <row r="16" spans="1:11">
      <c r="A16" s="890" t="s">
        <v>3080</v>
      </c>
      <c r="D16" s="891" t="e">
        <f>Overview!C13</f>
        <v>#REF!</v>
      </c>
    </row>
    <row r="17" spans="1:11" ht="14.25" customHeight="1"/>
    <row r="18" spans="1:11" ht="15.75">
      <c r="A18" s="886" t="s">
        <v>3081</v>
      </c>
      <c r="B18" s="887"/>
      <c r="C18" s="887"/>
    </row>
    <row r="19" spans="1:11" ht="54" customHeight="1">
      <c r="A19" s="233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335"/>
      <c r="C19" s="2335"/>
      <c r="D19" s="2335"/>
      <c r="E19" s="2335"/>
      <c r="F19" s="2335"/>
      <c r="G19" s="2335"/>
      <c r="H19" s="2335"/>
      <c r="I19" s="2335"/>
      <c r="J19" s="2335"/>
    </row>
    <row r="20" spans="1:11" ht="91.5" customHeight="1">
      <c r="A20" s="233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333"/>
      <c r="C20" s="2333"/>
      <c r="D20" s="2333"/>
      <c r="E20" s="2333"/>
      <c r="F20" s="2333"/>
      <c r="G20" s="2333"/>
      <c r="H20" s="2333"/>
      <c r="I20" s="2333"/>
      <c r="J20" s="2333"/>
    </row>
    <row r="21" spans="1:11" ht="15.75">
      <c r="A21" s="886" t="s">
        <v>3082</v>
      </c>
      <c r="B21" s="887"/>
      <c r="C21" s="887"/>
      <c r="D21" s="887"/>
      <c r="E21" s="887"/>
      <c r="F21" s="887"/>
    </row>
    <row r="22" spans="1:11" ht="134.25" customHeight="1">
      <c r="A22" s="23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336"/>
      <c r="C22" s="2336"/>
      <c r="D22" s="2336"/>
      <c r="E22" s="2336"/>
      <c r="F22" s="2336"/>
      <c r="G22" s="2336"/>
      <c r="H22" s="2336"/>
      <c r="I22" s="2336"/>
      <c r="J22" s="2336"/>
      <c r="K22" s="892"/>
    </row>
    <row r="23" spans="1:11" ht="15" customHeight="1">
      <c r="A23" s="2333"/>
      <c r="B23" s="2333"/>
      <c r="C23" s="2333"/>
      <c r="D23" s="2333"/>
      <c r="E23" s="2333"/>
      <c r="F23" s="2333"/>
      <c r="G23" s="2333"/>
      <c r="H23" s="2333"/>
      <c r="I23" s="2333"/>
      <c r="J23" s="2333"/>
      <c r="K23" s="884" t="s">
        <v>254</v>
      </c>
    </row>
    <row r="24" spans="1:11" ht="15" customHeight="1">
      <c r="B24" s="893"/>
      <c r="C24" s="893"/>
      <c r="D24" s="893"/>
      <c r="E24" s="893"/>
      <c r="F24" s="893"/>
      <c r="G24" s="893"/>
      <c r="H24" s="893"/>
      <c r="I24" s="893" t="s">
        <v>254</v>
      </c>
      <c r="J24" s="893"/>
    </row>
    <row r="25" spans="1:11" ht="15.75">
      <c r="A25" s="887" t="s">
        <v>3083</v>
      </c>
    </row>
    <row r="27" spans="1:11" ht="15.75" thickBot="1">
      <c r="A27" s="894"/>
      <c r="B27" s="894"/>
      <c r="C27" s="894"/>
      <c r="D27" s="894"/>
      <c r="F27" s="894"/>
      <c r="G27" s="894"/>
      <c r="H27" s="894"/>
      <c r="I27" s="894"/>
    </row>
    <row r="28" spans="1:11">
      <c r="A28" s="884" t="s">
        <v>3084</v>
      </c>
      <c r="D28" s="884" t="s">
        <v>958</v>
      </c>
      <c r="F28" s="884" t="s">
        <v>3085</v>
      </c>
      <c r="I28" s="884" t="s">
        <v>958</v>
      </c>
      <c r="J28" s="88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8"/>
    <col min="2" max="2" width="7.7109375" style="898" customWidth="1"/>
    <col min="3" max="3" width="14.85546875" style="898" customWidth="1"/>
    <col min="4" max="4" width="20.28515625" style="898" customWidth="1"/>
    <col min="5" max="5" width="8" style="898" customWidth="1"/>
    <col min="6" max="6" width="5.140625" style="898" customWidth="1"/>
    <col min="7" max="7" width="5.42578125" style="898" customWidth="1"/>
    <col min="8" max="8" width="8.5703125" style="898" customWidth="1"/>
    <col min="9" max="9" width="28.5703125" style="898" customWidth="1"/>
    <col min="10" max="10" width="4.140625" style="898" hidden="1" customWidth="1"/>
    <col min="11" max="11" width="9.140625" style="898"/>
    <col min="12" max="12" width="16.140625" style="898" customWidth="1"/>
    <col min="13" max="13" width="11.28515625" style="898" customWidth="1"/>
    <col min="14" max="14" width="10.85546875" style="898" bestFit="1" customWidth="1"/>
    <col min="15" max="16384" width="9.140625" style="898"/>
  </cols>
  <sheetData>
    <row r="2" spans="1:10" ht="15">
      <c r="A2" s="895" t="s">
        <v>3086</v>
      </c>
      <c r="B2" s="896"/>
      <c r="C2" s="896"/>
      <c r="D2" s="896"/>
      <c r="E2" s="897"/>
      <c r="F2" s="896"/>
      <c r="G2" s="896"/>
      <c r="H2" s="896"/>
      <c r="I2" s="896"/>
      <c r="J2" s="896"/>
    </row>
    <row r="3" spans="1:10" ht="15">
      <c r="A3" s="899"/>
    </row>
    <row r="4" spans="1:10" ht="15">
      <c r="A4" s="899" t="s">
        <v>3087</v>
      </c>
      <c r="D4" s="898" t="s">
        <v>3088</v>
      </c>
    </row>
    <row r="5" spans="1:10" ht="15">
      <c r="A5" s="899"/>
    </row>
    <row r="6" spans="1:10" ht="15">
      <c r="A6" s="899" t="s">
        <v>3089</v>
      </c>
      <c r="D6" s="898" t="s">
        <v>3090</v>
      </c>
    </row>
    <row r="7" spans="1:10" ht="15">
      <c r="A7" s="899"/>
    </row>
    <row r="8" spans="1:10" ht="15">
      <c r="A8" s="899" t="s">
        <v>3091</v>
      </c>
      <c r="D8" s="900" t="s">
        <v>3092</v>
      </c>
    </row>
    <row r="9" spans="1:10" ht="15">
      <c r="A9" s="899"/>
    </row>
    <row r="10" spans="1:10" ht="15">
      <c r="A10" s="899" t="s">
        <v>3093</v>
      </c>
      <c r="D10" s="900" t="s">
        <v>3094</v>
      </c>
    </row>
    <row r="11" spans="1:10" ht="15">
      <c r="A11" s="899"/>
      <c r="D11" s="901"/>
    </row>
    <row r="12" spans="1:10" ht="15">
      <c r="A12" s="899" t="s">
        <v>3095</v>
      </c>
      <c r="D12" s="898" t="s">
        <v>641</v>
      </c>
      <c r="F12" s="901" t="str">
        <f>Overview!$C$8</f>
        <v>Wheat Street Tower</v>
      </c>
    </row>
    <row r="13" spans="1:10" ht="15">
      <c r="A13" s="899"/>
      <c r="D13" s="898" t="s">
        <v>3096</v>
      </c>
      <c r="F13" s="901" t="str">
        <f>Overview!E8</f>
        <v>2016-524</v>
      </c>
    </row>
    <row r="14" spans="1:10" ht="15">
      <c r="A14" s="899"/>
      <c r="D14" s="898" t="s">
        <v>3097</v>
      </c>
      <c r="F14" s="901" t="str">
        <f>Overview!H8</f>
        <v>Atlanta, Fulton</v>
      </c>
    </row>
    <row r="15" spans="1:10" ht="15">
      <c r="A15" s="899"/>
      <c r="D15" s="898" t="s">
        <v>3485</v>
      </c>
      <c r="F15" s="902">
        <f>Overview!$C$25</f>
        <v>11500000</v>
      </c>
    </row>
    <row r="16" spans="1:10" ht="15">
      <c r="A16" s="899"/>
      <c r="D16" s="903" t="s">
        <v>3098</v>
      </c>
      <c r="F16" s="904" t="e">
        <f>Overview!C13</f>
        <v>#REF!</v>
      </c>
      <c r="G16" s="905" t="s">
        <v>3486</v>
      </c>
      <c r="H16" s="901" t="e">
        <f>Overview!D13</f>
        <v>#REF!</v>
      </c>
    </row>
    <row r="17" spans="1:18" ht="15">
      <c r="A17" s="899"/>
      <c r="D17" s="903" t="s">
        <v>3052</v>
      </c>
      <c r="F17" s="901" t="str">
        <f>Overview!C14</f>
        <v>Elderly</v>
      </c>
    </row>
    <row r="18" spans="1:18" ht="15">
      <c r="A18" s="899"/>
      <c r="D18" s="903" t="s">
        <v>3491</v>
      </c>
      <c r="F18" s="901" t="str">
        <f>Overview!H15</f>
        <v>Urban</v>
      </c>
    </row>
    <row r="19" spans="1:18" ht="15">
      <c r="A19" s="899"/>
      <c r="D19" s="903" t="s">
        <v>3487</v>
      </c>
      <c r="F19" s="901">
        <f>Overview!E16</f>
        <v>0</v>
      </c>
    </row>
    <row r="20" spans="1:18" ht="15">
      <c r="A20" s="899"/>
      <c r="D20" s="903"/>
    </row>
    <row r="21" spans="1:18" ht="15">
      <c r="A21" s="906" t="s">
        <v>3099</v>
      </c>
    </row>
    <row r="22" spans="1:18" ht="111.75" customHeight="1">
      <c r="A22" s="2350" t="s">
        <v>3776</v>
      </c>
      <c r="B22" s="2350"/>
      <c r="C22" s="2350"/>
      <c r="D22" s="2350"/>
      <c r="E22" s="2350"/>
      <c r="F22" s="2350"/>
      <c r="G22" s="2350"/>
      <c r="H22" s="2350"/>
      <c r="I22" s="2350"/>
      <c r="J22" s="2350"/>
      <c r="L22" s="2355" t="s">
        <v>3496</v>
      </c>
      <c r="M22" s="2355"/>
      <c r="N22" s="2355"/>
      <c r="O22" s="2355"/>
      <c r="P22" s="2355"/>
      <c r="Q22" s="2355"/>
      <c r="R22" s="2355"/>
    </row>
    <row r="23" spans="1:18" ht="0.75" hidden="1" customHeight="1">
      <c r="A23" s="907"/>
      <c r="B23" s="907"/>
      <c r="C23" s="907"/>
      <c r="D23" s="907"/>
      <c r="E23" s="907"/>
      <c r="F23" s="907"/>
      <c r="G23" s="907"/>
      <c r="H23" s="907"/>
      <c r="I23" s="907"/>
      <c r="J23" s="907"/>
    </row>
    <row r="24" spans="1:18" ht="9.75" hidden="1" customHeight="1">
      <c r="A24" s="2356"/>
      <c r="B24" s="2356"/>
      <c r="C24" s="2356"/>
      <c r="D24" s="2356"/>
      <c r="E24" s="2356"/>
      <c r="F24" s="2356"/>
      <c r="G24" s="2356"/>
      <c r="H24" s="2356"/>
      <c r="I24" s="2356"/>
      <c r="J24" s="2356"/>
    </row>
    <row r="25" spans="1:18" ht="10.5" hidden="1" customHeight="1">
      <c r="A25" s="2357"/>
      <c r="B25" s="2357"/>
      <c r="C25" s="2357"/>
      <c r="D25" s="2357"/>
      <c r="E25" s="2357"/>
      <c r="F25" s="2357"/>
      <c r="G25" s="2357"/>
      <c r="H25" s="2357"/>
      <c r="I25" s="2357"/>
      <c r="J25" s="2357"/>
    </row>
    <row r="26" spans="1:18" ht="15">
      <c r="A26" s="906" t="s">
        <v>3100</v>
      </c>
    </row>
    <row r="27" spans="1:18" ht="14.25" customHeight="1">
      <c r="A27" s="2358" t="s">
        <v>3101</v>
      </c>
      <c r="B27" s="2358"/>
      <c r="C27" s="2358"/>
      <c r="D27" s="2358"/>
      <c r="E27" s="2358"/>
      <c r="F27" s="2358"/>
      <c r="G27" s="2358"/>
      <c r="H27" s="2358"/>
      <c r="I27" s="2358"/>
      <c r="J27" s="2358"/>
    </row>
    <row r="28" spans="1:18" ht="14.25" customHeight="1">
      <c r="A28" s="2358"/>
      <c r="B28" s="2358"/>
      <c r="C28" s="2358"/>
      <c r="D28" s="2358"/>
      <c r="E28" s="2358"/>
      <c r="F28" s="2358"/>
      <c r="G28" s="2358"/>
      <c r="H28" s="2358"/>
      <c r="I28" s="2358"/>
      <c r="J28" s="2358"/>
    </row>
    <row r="29" spans="1:18" ht="6.75" customHeight="1">
      <c r="A29" s="2358"/>
      <c r="B29" s="2358"/>
      <c r="C29" s="2358"/>
      <c r="D29" s="2358"/>
      <c r="E29" s="2358"/>
      <c r="F29" s="2358"/>
      <c r="G29" s="2358"/>
      <c r="H29" s="2358"/>
      <c r="I29" s="2358"/>
      <c r="J29" s="2358"/>
    </row>
    <row r="30" spans="1:18" ht="14.25" customHeight="1">
      <c r="A30" s="2358"/>
      <c r="B30" s="2358"/>
      <c r="C30" s="2358"/>
      <c r="D30" s="2358"/>
      <c r="E30" s="2358"/>
      <c r="F30" s="2358"/>
      <c r="G30" s="2358"/>
      <c r="H30" s="2358"/>
      <c r="I30" s="2358"/>
      <c r="J30" s="2358"/>
    </row>
    <row r="31" spans="1:18" ht="14.25" customHeight="1">
      <c r="A31" s="2358"/>
      <c r="B31" s="2358"/>
      <c r="C31" s="2358"/>
      <c r="D31" s="2358"/>
      <c r="E31" s="2358"/>
      <c r="F31" s="2358"/>
      <c r="G31" s="2358"/>
      <c r="H31" s="2358"/>
      <c r="I31" s="2358"/>
      <c r="J31" s="2358"/>
    </row>
    <row r="32" spans="1:18" ht="54.75" customHeight="1">
      <c r="A32" s="2358"/>
      <c r="B32" s="2358"/>
      <c r="C32" s="2358"/>
      <c r="D32" s="2358"/>
      <c r="E32" s="2358"/>
      <c r="F32" s="2358"/>
      <c r="G32" s="2358"/>
      <c r="H32" s="2358"/>
      <c r="I32" s="2358"/>
      <c r="J32" s="2358"/>
    </row>
    <row r="33" spans="1:10" ht="0.75" hidden="1" customHeight="1">
      <c r="A33" s="2358"/>
      <c r="B33" s="2358"/>
      <c r="C33" s="2358"/>
      <c r="D33" s="2358"/>
      <c r="E33" s="2358"/>
      <c r="F33" s="2358"/>
      <c r="G33" s="2358"/>
      <c r="H33" s="2358"/>
      <c r="I33" s="2358"/>
      <c r="J33" s="2358"/>
    </row>
    <row r="34" spans="1:10" ht="3.75" hidden="1" customHeight="1">
      <c r="A34" s="2358"/>
      <c r="B34" s="2358"/>
      <c r="C34" s="2358"/>
      <c r="D34" s="2358"/>
      <c r="E34" s="2358"/>
      <c r="F34" s="2358"/>
      <c r="G34" s="2358"/>
      <c r="H34" s="2358"/>
      <c r="I34" s="2358"/>
      <c r="J34" s="2358"/>
    </row>
    <row r="35" spans="1:10" ht="5.25" customHeight="1">
      <c r="A35" s="908"/>
      <c r="B35" s="908"/>
      <c r="C35" s="908"/>
      <c r="D35" s="908"/>
      <c r="E35" s="908"/>
      <c r="F35" s="908"/>
      <c r="G35" s="908"/>
      <c r="H35" s="908"/>
      <c r="I35" s="908"/>
      <c r="J35" s="908"/>
    </row>
    <row r="36" spans="1:10" ht="19.5" customHeight="1">
      <c r="A36" s="2356" t="s">
        <v>3102</v>
      </c>
      <c r="B36" s="2356"/>
      <c r="C36" s="2356"/>
      <c r="D36" s="907"/>
      <c r="E36" s="907"/>
      <c r="F36" s="907"/>
      <c r="G36" s="907"/>
      <c r="H36" s="907"/>
      <c r="I36" s="907"/>
      <c r="J36" s="907"/>
    </row>
    <row r="37" spans="1:10" ht="15" customHeight="1">
      <c r="A37" s="2344"/>
      <c r="B37" s="2344"/>
      <c r="C37" s="2344"/>
      <c r="D37" s="2344"/>
      <c r="E37" s="2344"/>
      <c r="F37" s="2344"/>
      <c r="G37" s="2344"/>
      <c r="H37" s="2344"/>
      <c r="I37" s="2344"/>
      <c r="J37" s="2344"/>
    </row>
    <row r="38" spans="1:10" ht="33.75" customHeight="1">
      <c r="A38" s="2344"/>
      <c r="B38" s="2344"/>
      <c r="C38" s="2344"/>
      <c r="D38" s="2344"/>
      <c r="E38" s="2344"/>
      <c r="F38" s="2344"/>
      <c r="G38" s="2344"/>
      <c r="H38" s="2344"/>
      <c r="I38" s="2344"/>
      <c r="J38" s="2344"/>
    </row>
    <row r="39" spans="1:10" ht="2.25" customHeight="1">
      <c r="A39" s="907"/>
      <c r="B39" s="907"/>
      <c r="C39" s="907"/>
      <c r="D39" s="907"/>
      <c r="E39" s="907"/>
      <c r="F39" s="907"/>
      <c r="G39" s="907"/>
      <c r="H39" s="907"/>
      <c r="I39" s="907"/>
      <c r="J39" s="907"/>
    </row>
    <row r="40" spans="1:10" ht="15">
      <c r="A40" s="906" t="s">
        <v>3103</v>
      </c>
    </row>
    <row r="41" spans="1:10" ht="135" customHeight="1">
      <c r="A41" s="2357" t="s">
        <v>3598</v>
      </c>
      <c r="B41" s="2357"/>
      <c r="C41" s="2357"/>
      <c r="D41" s="2357"/>
      <c r="E41" s="2357"/>
      <c r="F41" s="2357"/>
      <c r="G41" s="2357"/>
      <c r="H41" s="2357"/>
      <c r="I41" s="2357"/>
      <c r="J41" s="2357"/>
    </row>
    <row r="42" spans="1:10" ht="6" customHeight="1">
      <c r="A42" s="909"/>
      <c r="B42" s="909"/>
      <c r="C42" s="909"/>
      <c r="D42" s="909"/>
      <c r="E42" s="909"/>
      <c r="F42" s="909"/>
      <c r="G42" s="909"/>
      <c r="H42" s="909"/>
      <c r="I42" s="909"/>
      <c r="J42" s="909"/>
    </row>
    <row r="43" spans="1:10" ht="15">
      <c r="A43" s="906" t="s">
        <v>3104</v>
      </c>
    </row>
    <row r="44" spans="1:10" ht="33" customHeight="1">
      <c r="A44" s="2344" t="s">
        <v>3105</v>
      </c>
      <c r="B44" s="2349"/>
      <c r="C44" s="2349"/>
      <c r="D44" s="2349"/>
      <c r="E44" s="2349"/>
      <c r="F44" s="2349"/>
      <c r="G44" s="2349"/>
      <c r="H44" s="2349"/>
      <c r="I44" s="2349"/>
      <c r="J44" s="2344"/>
    </row>
    <row r="45" spans="1:10" ht="3" customHeight="1"/>
    <row r="46" spans="1:10" ht="72.75" customHeight="1">
      <c r="A46" s="2344" t="s">
        <v>3106</v>
      </c>
      <c r="B46" s="2344"/>
      <c r="C46" s="2344"/>
      <c r="D46" s="2344"/>
      <c r="E46" s="2344"/>
      <c r="F46" s="2344"/>
      <c r="G46" s="2344"/>
      <c r="H46" s="2344"/>
      <c r="I46" s="2344"/>
      <c r="J46" s="2344"/>
    </row>
    <row r="47" spans="1:10" ht="3" customHeight="1">
      <c r="A47" s="907"/>
      <c r="B47" s="907"/>
      <c r="C47" s="907"/>
      <c r="D47" s="907"/>
      <c r="E47" s="907"/>
      <c r="F47" s="907"/>
      <c r="G47" s="907"/>
      <c r="H47" s="907"/>
      <c r="I47" s="907"/>
      <c r="J47" s="907"/>
    </row>
    <row r="48" spans="1:10" ht="56.25" customHeight="1">
      <c r="A48" s="2344" t="s">
        <v>3107</v>
      </c>
      <c r="B48" s="2344"/>
      <c r="C48" s="2344"/>
      <c r="D48" s="2344"/>
      <c r="E48" s="2344"/>
      <c r="F48" s="2344"/>
      <c r="G48" s="2344"/>
      <c r="H48" s="2344"/>
      <c r="I48" s="2344"/>
      <c r="J48" s="2344"/>
    </row>
    <row r="49" spans="1:17" ht="3" customHeight="1">
      <c r="A49" s="907"/>
      <c r="B49" s="907"/>
      <c r="C49" s="907"/>
      <c r="D49" s="907"/>
      <c r="E49" s="907"/>
      <c r="F49" s="907"/>
      <c r="G49" s="907"/>
      <c r="H49" s="907"/>
      <c r="I49" s="907"/>
      <c r="J49" s="907"/>
    </row>
    <row r="50" spans="1:17" ht="49.5" customHeight="1">
      <c r="A50" s="2344" t="s">
        <v>3108</v>
      </c>
      <c r="B50" s="2344"/>
      <c r="C50" s="2344"/>
      <c r="D50" s="2344"/>
      <c r="E50" s="2344"/>
      <c r="F50" s="2344"/>
      <c r="G50" s="2344"/>
      <c r="H50" s="2344"/>
      <c r="I50" s="2344"/>
      <c r="J50" s="907"/>
    </row>
    <row r="51" spans="1:17" ht="3" customHeight="1">
      <c r="A51" s="907"/>
      <c r="B51" s="907"/>
      <c r="C51" s="907"/>
      <c r="D51" s="907"/>
      <c r="E51" s="907"/>
      <c r="F51" s="907"/>
      <c r="G51" s="907"/>
      <c r="H51" s="907"/>
      <c r="I51" s="907"/>
      <c r="J51" s="907"/>
    </row>
    <row r="52" spans="1:17" ht="54.75" customHeight="1">
      <c r="A52" s="2354" t="s">
        <v>3497</v>
      </c>
      <c r="B52" s="2343"/>
      <c r="C52" s="2343"/>
      <c r="D52" s="2343"/>
      <c r="E52" s="2343"/>
      <c r="F52" s="2343"/>
      <c r="G52" s="2343"/>
      <c r="H52" s="2343"/>
      <c r="I52" s="2343"/>
      <c r="J52" s="907"/>
    </row>
    <row r="53" spans="1:17" ht="3" customHeight="1">
      <c r="A53" s="907"/>
      <c r="B53" s="907"/>
      <c r="C53" s="907"/>
      <c r="D53" s="907"/>
      <c r="E53" s="907"/>
      <c r="F53" s="907"/>
      <c r="G53" s="907"/>
      <c r="H53" s="907"/>
      <c r="I53" s="907"/>
      <c r="J53" s="907"/>
    </row>
    <row r="54" spans="1:17" ht="62.25" customHeight="1">
      <c r="A54" s="2343" t="s">
        <v>3109</v>
      </c>
      <c r="B54" s="2343"/>
      <c r="C54" s="2343"/>
      <c r="D54" s="2343"/>
      <c r="E54" s="2343"/>
      <c r="F54" s="2343"/>
      <c r="G54" s="2343"/>
      <c r="H54" s="2343"/>
      <c r="I54" s="2343"/>
      <c r="J54" s="2343"/>
    </row>
    <row r="55" spans="1:17" ht="3" customHeight="1"/>
    <row r="56" spans="1:17" ht="73.5" customHeight="1">
      <c r="A56" s="2344" t="s">
        <v>3110</v>
      </c>
      <c r="B56" s="2344"/>
      <c r="C56" s="2344"/>
      <c r="D56" s="2344"/>
      <c r="E56" s="2344"/>
      <c r="F56" s="2344"/>
      <c r="G56" s="2344"/>
      <c r="H56" s="2344"/>
      <c r="I56" s="2344"/>
      <c r="J56" s="2344"/>
    </row>
    <row r="57" spans="1:17" ht="6" customHeight="1">
      <c r="A57" s="907" t="s">
        <v>254</v>
      </c>
      <c r="B57" s="907"/>
      <c r="C57" s="907"/>
      <c r="D57" s="907"/>
      <c r="E57" s="907"/>
      <c r="F57" s="907"/>
      <c r="G57" s="907"/>
      <c r="H57" s="907"/>
      <c r="I57" s="907"/>
      <c r="J57" s="907"/>
    </row>
    <row r="58" spans="1:17" ht="15">
      <c r="A58" s="906" t="s">
        <v>3111</v>
      </c>
      <c r="L58" s="910" t="s">
        <v>3768</v>
      </c>
    </row>
    <row r="59" spans="1:17" ht="73.5" customHeight="1">
      <c r="A59" s="2350" t="s">
        <v>3112</v>
      </c>
      <c r="B59" s="2350"/>
      <c r="C59" s="2350"/>
      <c r="D59" s="2350"/>
      <c r="E59" s="2350"/>
      <c r="F59" s="2350"/>
      <c r="G59" s="2350"/>
      <c r="H59" s="2350"/>
      <c r="I59" s="2350"/>
      <c r="J59" s="2350"/>
      <c r="L59" s="911">
        <f>'Closing term sheet'!C135</f>
        <v>1244096</v>
      </c>
      <c r="M59" s="912"/>
      <c r="N59" s="912"/>
      <c r="O59" s="912"/>
    </row>
    <row r="60" spans="1:17" ht="7.5" customHeight="1">
      <c r="A60" s="907"/>
      <c r="B60" s="907"/>
      <c r="C60" s="907"/>
      <c r="D60" s="907"/>
      <c r="E60" s="907"/>
      <c r="F60" s="907"/>
      <c r="G60" s="907"/>
      <c r="H60" s="907"/>
      <c r="I60" s="907"/>
      <c r="J60" s="907"/>
      <c r="L60" s="913" t="s">
        <v>3769</v>
      </c>
      <c r="M60" s="914" t="s">
        <v>3774</v>
      </c>
      <c r="N60" s="915" t="s">
        <v>3771</v>
      </c>
      <c r="O60" s="913" t="s">
        <v>3770</v>
      </c>
      <c r="P60" s="914" t="s">
        <v>3773</v>
      </c>
      <c r="Q60" s="915" t="s">
        <v>3772</v>
      </c>
    </row>
    <row r="61" spans="1:17" ht="78.75" customHeight="1">
      <c r="A61" s="2343" t="s">
        <v>3599</v>
      </c>
      <c r="B61" s="2343"/>
      <c r="C61" s="2343"/>
      <c r="D61" s="2343"/>
      <c r="E61" s="2343"/>
      <c r="F61" s="2343"/>
      <c r="G61" s="2343"/>
      <c r="H61" s="2343"/>
      <c r="I61" s="2343"/>
      <c r="J61" s="916"/>
      <c r="L61" s="917">
        <f>'Part III-Sources of Funds'!I45</f>
        <v>8842130</v>
      </c>
      <c r="M61" s="918">
        <f ca="1">'Part IV-Uses of Funds'!$J$174</f>
        <v>885891.18223086908</v>
      </c>
      <c r="N61" s="919">
        <f>'Part IV-Uses of Funds'!N167</f>
        <v>1</v>
      </c>
      <c r="O61" s="917">
        <f>'Part III-Sources of Funds'!I46</f>
        <v>4877375</v>
      </c>
      <c r="P61" s="918">
        <f ca="1">M61</f>
        <v>885891.18223086908</v>
      </c>
      <c r="Q61" s="919">
        <f>'Part IV-Uses of Funds'!Q167</f>
        <v>0.55000000000000004</v>
      </c>
    </row>
    <row r="62" spans="1:17" ht="18.75" customHeight="1">
      <c r="A62" s="920" t="s">
        <v>3113</v>
      </c>
    </row>
    <row r="63" spans="1:17" ht="159.75" customHeight="1">
      <c r="A63" s="2343" t="s">
        <v>3600</v>
      </c>
      <c r="B63" s="2343"/>
      <c r="C63" s="2343"/>
      <c r="D63" s="2343"/>
      <c r="E63" s="2343"/>
      <c r="F63" s="2343"/>
      <c r="G63" s="2343"/>
      <c r="H63" s="2343"/>
      <c r="I63" s="2343"/>
      <c r="J63" s="2343"/>
      <c r="L63" s="921">
        <f>'Part VII-Pro Forma'!K67</f>
        <v>7931433.0280331103</v>
      </c>
      <c r="M63" s="2341" t="s">
        <v>3775</v>
      </c>
      <c r="N63" s="2342"/>
    </row>
    <row r="64" spans="1:17" ht="6" customHeight="1">
      <c r="A64" s="906"/>
    </row>
    <row r="65" spans="1:10" ht="15">
      <c r="A65" s="906" t="s">
        <v>3114</v>
      </c>
    </row>
    <row r="66" spans="1:10" ht="66.75" customHeight="1">
      <c r="A66" s="2343" t="s">
        <v>3115</v>
      </c>
      <c r="B66" s="2343"/>
      <c r="C66" s="2343"/>
      <c r="D66" s="2343"/>
      <c r="E66" s="2343"/>
      <c r="F66" s="2343"/>
      <c r="G66" s="2343"/>
      <c r="H66" s="2343"/>
      <c r="I66" s="2343"/>
      <c r="J66" s="2343"/>
    </row>
    <row r="67" spans="1:10" ht="36" customHeight="1">
      <c r="A67" s="2343" t="s">
        <v>3116</v>
      </c>
      <c r="B67" s="2343"/>
      <c r="C67" s="2343"/>
      <c r="D67" s="2343"/>
      <c r="E67" s="2343"/>
      <c r="F67" s="2343"/>
      <c r="G67" s="2343"/>
      <c r="H67" s="2343"/>
      <c r="I67" s="2343"/>
      <c r="J67" s="2343"/>
    </row>
    <row r="68" spans="1:10" ht="6" customHeight="1">
      <c r="A68" s="906"/>
    </row>
    <row r="69" spans="1:10" ht="15">
      <c r="A69" s="906" t="s">
        <v>3117</v>
      </c>
    </row>
    <row r="70" spans="1:10" ht="105.75" customHeight="1">
      <c r="A70" s="2344" t="s">
        <v>3118</v>
      </c>
      <c r="B70" s="2344"/>
      <c r="C70" s="2344"/>
      <c r="D70" s="2344"/>
      <c r="E70" s="2344"/>
      <c r="F70" s="2344"/>
      <c r="G70" s="2344"/>
      <c r="H70" s="2344"/>
      <c r="I70" s="2344"/>
      <c r="J70" s="2344"/>
    </row>
    <row r="71" spans="1:10" ht="6" customHeight="1">
      <c r="A71" s="906"/>
    </row>
    <row r="72" spans="1:10" ht="15">
      <c r="A72" s="906" t="s">
        <v>3119</v>
      </c>
    </row>
    <row r="73" spans="1:10" ht="66" customHeight="1">
      <c r="A73" s="2344" t="s">
        <v>3120</v>
      </c>
      <c r="B73" s="2344"/>
      <c r="C73" s="2344"/>
      <c r="D73" s="2344"/>
      <c r="E73" s="2344"/>
      <c r="F73" s="2344"/>
      <c r="G73" s="2344"/>
      <c r="H73" s="2344"/>
      <c r="I73" s="2344"/>
      <c r="J73" s="2344"/>
    </row>
    <row r="74" spans="1:10" s="908" customFormat="1" ht="6" customHeight="1">
      <c r="A74" s="2344"/>
      <c r="B74" s="2344"/>
      <c r="C74" s="2344"/>
      <c r="D74" s="2344"/>
      <c r="E74" s="2344"/>
      <c r="F74" s="2344"/>
      <c r="G74" s="2344"/>
      <c r="H74" s="2344"/>
      <c r="I74" s="2344"/>
      <c r="J74" s="2344"/>
    </row>
    <row r="75" spans="1:10" ht="16.5" customHeight="1">
      <c r="A75" s="922" t="s">
        <v>3121</v>
      </c>
      <c r="B75" s="905"/>
      <c r="C75" s="905"/>
      <c r="D75" s="905"/>
      <c r="E75" s="905"/>
      <c r="F75" s="905"/>
      <c r="G75" s="905"/>
      <c r="H75" s="905"/>
      <c r="I75" s="905"/>
      <c r="J75" s="923"/>
    </row>
    <row r="76" spans="1:10" s="908" customFormat="1" ht="63" customHeight="1">
      <c r="A76" s="2344" t="s">
        <v>3122</v>
      </c>
      <c r="B76" s="2344"/>
      <c r="C76" s="2344"/>
      <c r="D76" s="2344"/>
      <c r="E76" s="2344"/>
      <c r="F76" s="2344"/>
      <c r="G76" s="2344"/>
      <c r="H76" s="2344"/>
      <c r="I76" s="2344"/>
      <c r="J76" s="2344"/>
    </row>
    <row r="77" spans="1:10" s="908" customFormat="1" ht="6" customHeight="1">
      <c r="A77" s="907"/>
      <c r="B77" s="907"/>
      <c r="C77" s="907"/>
      <c r="D77" s="907"/>
      <c r="E77" s="907"/>
      <c r="F77" s="907"/>
      <c r="G77" s="907"/>
      <c r="H77" s="907"/>
      <c r="I77" s="907"/>
      <c r="J77" s="907"/>
    </row>
    <row r="78" spans="1:10" ht="16.5" customHeight="1">
      <c r="A78" s="2351" t="s">
        <v>3123</v>
      </c>
      <c r="B78" s="2352"/>
      <c r="C78" s="2352"/>
      <c r="D78" s="905"/>
      <c r="E78" s="905"/>
      <c r="F78" s="905"/>
      <c r="G78" s="905"/>
      <c r="H78" s="905"/>
      <c r="I78" s="905"/>
      <c r="J78" s="923"/>
    </row>
    <row r="79" spans="1:10" ht="41.25" customHeight="1">
      <c r="A79" s="2343" t="s">
        <v>3601</v>
      </c>
      <c r="B79" s="2353"/>
      <c r="C79" s="2353"/>
      <c r="D79" s="2353"/>
      <c r="E79" s="2353"/>
      <c r="F79" s="2353"/>
      <c r="G79" s="2353"/>
      <c r="H79" s="2353"/>
      <c r="I79" s="2353"/>
      <c r="J79" s="2353"/>
    </row>
    <row r="80" spans="1:10" ht="6" customHeight="1">
      <c r="A80" s="924"/>
      <c r="B80" s="905"/>
      <c r="C80" s="905"/>
      <c r="D80" s="905"/>
      <c r="E80" s="905"/>
      <c r="F80" s="905"/>
      <c r="G80" s="905"/>
      <c r="H80" s="905"/>
      <c r="I80" s="905"/>
      <c r="J80" s="923"/>
    </row>
    <row r="81" spans="1:15" ht="15">
      <c r="A81" s="906" t="s">
        <v>3124</v>
      </c>
    </row>
    <row r="82" spans="1:15" ht="139.5" customHeight="1">
      <c r="A82" s="2343" t="s">
        <v>3125</v>
      </c>
      <c r="B82" s="2343"/>
      <c r="C82" s="2343"/>
      <c r="D82" s="2343"/>
      <c r="E82" s="2343"/>
      <c r="F82" s="2343"/>
      <c r="G82" s="2343"/>
      <c r="H82" s="2343"/>
      <c r="I82" s="2343"/>
      <c r="J82" s="2343"/>
      <c r="L82" s="2347" t="s">
        <v>3126</v>
      </c>
      <c r="M82" s="2347"/>
      <c r="N82" s="2347"/>
    </row>
    <row r="83" spans="1:15" ht="6" customHeight="1">
      <c r="A83" s="925"/>
      <c r="B83" s="925"/>
      <c r="C83" s="925"/>
      <c r="D83" s="925"/>
      <c r="E83" s="925"/>
      <c r="F83" s="925"/>
      <c r="G83" s="925"/>
      <c r="H83" s="925"/>
      <c r="I83" s="925"/>
      <c r="J83" s="925"/>
      <c r="L83" s="926"/>
      <c r="M83" s="926"/>
      <c r="N83" s="926"/>
    </row>
    <row r="84" spans="1:15" ht="17.25" customHeight="1">
      <c r="A84" s="906" t="s">
        <v>3127</v>
      </c>
    </row>
    <row r="85" spans="1:15" ht="111" customHeight="1">
      <c r="A85" s="2343" t="s">
        <v>3128</v>
      </c>
      <c r="B85" s="2343"/>
      <c r="C85" s="2343"/>
      <c r="D85" s="2343"/>
      <c r="E85" s="2343"/>
      <c r="F85" s="2343"/>
      <c r="G85" s="2343"/>
      <c r="H85" s="2343"/>
      <c r="I85" s="2343"/>
      <c r="J85" s="2343"/>
      <c r="L85" s="2347" t="s">
        <v>3129</v>
      </c>
      <c r="M85" s="2347"/>
      <c r="N85" s="927" t="e">
        <f ca="1">'After-Tax Analysis'!G66</f>
        <v>#VALUE!</v>
      </c>
      <c r="O85" s="928" t="s">
        <v>3130</v>
      </c>
    </row>
    <row r="86" spans="1:15" ht="6" customHeight="1">
      <c r="A86" s="906"/>
    </row>
    <row r="87" spans="1:15" ht="15">
      <c r="A87" s="906" t="s">
        <v>3131</v>
      </c>
    </row>
    <row r="88" spans="1:15" ht="118.5" customHeight="1">
      <c r="A88" s="2344" t="s">
        <v>3132</v>
      </c>
      <c r="B88" s="2344"/>
      <c r="C88" s="2344"/>
      <c r="D88" s="2344"/>
      <c r="E88" s="2344"/>
      <c r="F88" s="2344"/>
      <c r="G88" s="2344"/>
      <c r="H88" s="2344"/>
      <c r="I88" s="2344"/>
      <c r="J88" s="2344"/>
    </row>
    <row r="89" spans="1:15" ht="20.25" customHeight="1">
      <c r="A89" s="2349" t="s">
        <v>3133</v>
      </c>
      <c r="B89" s="2349"/>
      <c r="C89" s="2349"/>
      <c r="D89" s="2344"/>
      <c r="E89" s="907"/>
      <c r="F89" s="907"/>
      <c r="G89" s="907"/>
      <c r="H89" s="907"/>
      <c r="I89" s="907"/>
      <c r="J89" s="907"/>
    </row>
    <row r="90" spans="1:15" ht="109.5" customHeight="1">
      <c r="A90" s="2344" t="s">
        <v>3134</v>
      </c>
      <c r="B90" s="2349"/>
      <c r="C90" s="2349"/>
      <c r="D90" s="2349"/>
      <c r="E90" s="2349"/>
      <c r="F90" s="2349"/>
      <c r="G90" s="2349"/>
      <c r="H90" s="2349"/>
      <c r="I90" s="2349"/>
      <c r="J90" s="2349"/>
    </row>
    <row r="91" spans="1:15" ht="11.25" customHeight="1">
      <c r="A91" s="906"/>
    </row>
    <row r="92" spans="1:15" ht="15">
      <c r="A92" s="906" t="s">
        <v>3135</v>
      </c>
    </row>
    <row r="93" spans="1:15" ht="122.25" customHeight="1">
      <c r="A93" s="2350" t="s">
        <v>3136</v>
      </c>
      <c r="B93" s="2350"/>
      <c r="C93" s="2350"/>
      <c r="D93" s="2350"/>
      <c r="E93" s="2350"/>
      <c r="F93" s="2350"/>
      <c r="G93" s="2350"/>
      <c r="H93" s="2350"/>
      <c r="I93" s="2350"/>
      <c r="J93" s="2350"/>
      <c r="L93" s="927">
        <f>'Part VII-Pro Forma'!K67</f>
        <v>7931433.0280331103</v>
      </c>
      <c r="M93" s="2348" t="s">
        <v>3137</v>
      </c>
      <c r="N93" s="2348"/>
    </row>
    <row r="94" spans="1:15" ht="11.25" hidden="1" customHeight="1">
      <c r="A94" s="907"/>
      <c r="B94" s="907"/>
      <c r="C94" s="907"/>
      <c r="D94" s="907"/>
      <c r="E94" s="907"/>
      <c r="F94" s="907"/>
      <c r="G94" s="907"/>
      <c r="H94" s="907"/>
      <c r="I94" s="907"/>
      <c r="J94" s="907"/>
    </row>
    <row r="95" spans="1:15" ht="12" hidden="1" customHeight="1">
      <c r="A95" s="907"/>
      <c r="B95" s="907"/>
      <c r="C95" s="907"/>
      <c r="D95" s="907"/>
      <c r="E95" s="907"/>
      <c r="F95" s="907"/>
      <c r="G95" s="907"/>
      <c r="H95" s="907"/>
      <c r="I95" s="907"/>
      <c r="J95" s="923"/>
    </row>
    <row r="96" spans="1:15" ht="6" customHeight="1">
      <c r="A96" s="907"/>
      <c r="B96" s="907"/>
      <c r="C96" s="907"/>
      <c r="D96" s="907"/>
      <c r="E96" s="907"/>
      <c r="F96" s="907"/>
      <c r="G96" s="907"/>
      <c r="H96" s="907"/>
      <c r="I96" s="907"/>
      <c r="J96" s="923"/>
    </row>
    <row r="97" spans="1:10" ht="17.25" customHeight="1">
      <c r="A97" s="2349" t="s">
        <v>3138</v>
      </c>
      <c r="B97" s="2349"/>
      <c r="C97" s="2349"/>
      <c r="D97" s="907"/>
      <c r="E97" s="907"/>
      <c r="F97" s="907"/>
      <c r="G97" s="907"/>
      <c r="H97" s="907"/>
      <c r="I97" s="907"/>
      <c r="J97" s="923"/>
    </row>
    <row r="98" spans="1:10" ht="37.5" customHeight="1">
      <c r="A98" s="2343" t="s">
        <v>3139</v>
      </c>
      <c r="B98" s="2343"/>
      <c r="C98" s="2343"/>
      <c r="D98" s="2343"/>
      <c r="E98" s="2343"/>
      <c r="F98" s="2343"/>
      <c r="G98" s="2343"/>
      <c r="H98" s="2343"/>
      <c r="I98" s="2343"/>
      <c r="J98" s="2343"/>
    </row>
    <row r="99" spans="1:10" ht="6" customHeight="1">
      <c r="A99" s="906"/>
    </row>
    <row r="100" spans="1:10" ht="15">
      <c r="A100" s="906" t="s">
        <v>3140</v>
      </c>
    </row>
    <row r="101" spans="1:10" ht="43.5" customHeight="1">
      <c r="A101" s="2344" t="s">
        <v>3141</v>
      </c>
      <c r="B101" s="2344"/>
      <c r="C101" s="2344"/>
      <c r="D101" s="2344"/>
      <c r="E101" s="2344"/>
      <c r="F101" s="2344"/>
      <c r="G101" s="2344"/>
      <c r="H101" s="2344"/>
      <c r="I101" s="2344"/>
      <c r="J101" s="2344"/>
    </row>
    <row r="102" spans="1:10" ht="6" customHeight="1">
      <c r="A102" s="907"/>
      <c r="B102" s="907"/>
      <c r="C102" s="907"/>
      <c r="D102" s="907"/>
      <c r="E102" s="907"/>
      <c r="F102" s="907"/>
      <c r="G102" s="907"/>
      <c r="H102" s="907"/>
      <c r="I102" s="907"/>
      <c r="J102" s="907"/>
    </row>
    <row r="103" spans="1:10" ht="15">
      <c r="A103" s="906" t="s">
        <v>3142</v>
      </c>
    </row>
    <row r="105" spans="1:10">
      <c r="A105" s="2345" t="s">
        <v>3143</v>
      </c>
      <c r="B105" s="2345"/>
      <c r="C105" s="2345"/>
      <c r="D105" s="2345"/>
      <c r="E105" s="2345"/>
      <c r="F105" s="2345"/>
      <c r="G105" s="2345"/>
      <c r="H105" s="2345"/>
      <c r="I105" s="2345"/>
      <c r="J105" s="2345"/>
    </row>
    <row r="107" spans="1:10" ht="15" thickBot="1">
      <c r="A107" s="929"/>
      <c r="B107" s="898" t="s">
        <v>3144</v>
      </c>
    </row>
    <row r="110" spans="1:10" ht="15" thickBot="1">
      <c r="A110" s="929"/>
      <c r="B110" s="898" t="s">
        <v>3145</v>
      </c>
    </row>
    <row r="112" spans="1:10">
      <c r="A112" s="898" t="s">
        <v>3146</v>
      </c>
    </row>
    <row r="115" spans="1:10" ht="15" thickBot="1">
      <c r="A115" s="929"/>
      <c r="B115" s="929"/>
      <c r="C115" s="929"/>
      <c r="D115" s="929"/>
      <c r="E115" s="929"/>
      <c r="H115" s="929"/>
      <c r="I115" s="929"/>
      <c r="J115" s="929"/>
    </row>
    <row r="116" spans="1:10">
      <c r="A116" s="2346" t="s">
        <v>3147</v>
      </c>
      <c r="B116" s="2346"/>
      <c r="C116" s="2346"/>
      <c r="D116" s="2346"/>
      <c r="E116" s="2346"/>
      <c r="H116" s="2346" t="s">
        <v>3148</v>
      </c>
      <c r="I116" s="2346"/>
      <c r="J116" s="2346"/>
    </row>
    <row r="118" spans="1:10" ht="15" thickBot="1">
      <c r="A118" s="898" t="s">
        <v>3149</v>
      </c>
      <c r="B118" s="929"/>
      <c r="C118" s="929"/>
      <c r="H118" s="898" t="s">
        <v>3149</v>
      </c>
      <c r="I118" s="929"/>
    </row>
    <row r="206" spans="1:1">
      <c r="A206" s="89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0" t="s">
        <v>3150</v>
      </c>
      <c r="B1" s="931"/>
      <c r="C1" s="931"/>
      <c r="D1" s="931"/>
      <c r="E1" s="931"/>
      <c r="F1" s="931"/>
      <c r="G1" s="931"/>
      <c r="H1" s="931"/>
      <c r="I1" s="931"/>
      <c r="J1" s="931"/>
      <c r="K1" s="931"/>
      <c r="L1" s="884"/>
      <c r="M1" s="884"/>
    </row>
    <row r="2" spans="1:13" ht="18">
      <c r="A2" s="930" t="str">
        <f>+"Financial Analysis for:  "&amp;C8</f>
        <v>Financial Analysis for:  Wheat Street Tower</v>
      </c>
      <c r="B2" s="931"/>
      <c r="C2" s="931"/>
      <c r="D2" s="931"/>
      <c r="E2" s="931"/>
      <c r="F2" s="931"/>
      <c r="G2" s="931"/>
      <c r="H2" s="931"/>
      <c r="I2" s="931"/>
      <c r="J2" s="931"/>
      <c r="K2" s="931"/>
      <c r="L2" s="884"/>
      <c r="M2" s="884"/>
    </row>
    <row r="5" spans="1:13" ht="15.75">
      <c r="A5" s="932"/>
      <c r="B5" s="933"/>
      <c r="C5" s="934"/>
      <c r="D5" s="933"/>
      <c r="E5" s="933"/>
      <c r="F5" s="932"/>
      <c r="G5" s="933"/>
      <c r="H5" s="934"/>
      <c r="I5" s="933"/>
      <c r="J5" s="933"/>
      <c r="K5" s="933"/>
      <c r="L5" s="933"/>
      <c r="M5" s="884"/>
    </row>
    <row r="7" spans="1:13" ht="15.75">
      <c r="A7" s="887" t="s">
        <v>3151</v>
      </c>
      <c r="B7" s="884"/>
      <c r="C7" s="935"/>
      <c r="D7" s="936"/>
      <c r="E7" s="936"/>
      <c r="F7" s="887" t="s">
        <v>3501</v>
      </c>
      <c r="G7" s="884"/>
      <c r="H7" s="236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2361"/>
      <c r="J7" s="2361"/>
      <c r="K7" s="2361"/>
      <c r="L7" s="884"/>
      <c r="M7" s="884"/>
    </row>
    <row r="8" spans="1:13" ht="15.75">
      <c r="A8" s="887" t="s">
        <v>3152</v>
      </c>
      <c r="B8" s="887"/>
      <c r="C8" s="2361" t="str">
        <f>'Part I-Project Information'!F24</f>
        <v>Wheat Street Tower</v>
      </c>
      <c r="D8" s="2361"/>
      <c r="E8" s="937" t="str">
        <f>'Part I-Project Information'!O4</f>
        <v>2016-524</v>
      </c>
      <c r="F8" s="938" t="s">
        <v>3153</v>
      </c>
      <c r="G8" s="936"/>
      <c r="H8" s="2361" t="str">
        <f>CONCATENATE('Part I-Project Information'!F28,", ",'Part I-Project Information'!J29)</f>
        <v>Atlanta, Fulton</v>
      </c>
      <c r="I8" s="2361"/>
      <c r="J8" s="2361"/>
      <c r="K8" s="2361"/>
      <c r="L8" s="884"/>
      <c r="M8" s="939"/>
    </row>
    <row r="9" spans="1:13" ht="15.75">
      <c r="A9" s="887" t="s">
        <v>3155</v>
      </c>
      <c r="B9" s="887"/>
      <c r="C9" s="2361" t="s">
        <v>1837</v>
      </c>
      <c r="D9" s="2361"/>
      <c r="E9" s="936"/>
      <c r="F9" s="938" t="s">
        <v>3156</v>
      </c>
      <c r="G9" s="936"/>
      <c r="H9" s="2361" t="str">
        <f>'Part II-Development Team'!H5</f>
        <v xml:space="preserve">Wheat Street Senior, LP </v>
      </c>
      <c r="I9" s="2361"/>
      <c r="J9" s="2361"/>
      <c r="K9" s="2361"/>
      <c r="L9" s="2361"/>
      <c r="M9" s="939"/>
    </row>
    <row r="10" spans="1:13" ht="15.75">
      <c r="A10" s="887" t="s">
        <v>3158</v>
      </c>
      <c r="B10" s="884"/>
      <c r="C10" s="879" t="str">
        <f>'Part II-Development Team'!H14</f>
        <v>TBG Properties, LLC</v>
      </c>
      <c r="D10" s="936"/>
      <c r="E10" s="936"/>
      <c r="F10" s="938" t="s">
        <v>3845</v>
      </c>
      <c r="G10" s="936"/>
      <c r="H10" s="2361" t="str">
        <f>'Part II-Development Team'!H33</f>
        <v>NDC</v>
      </c>
      <c r="I10" s="2361"/>
      <c r="J10" s="2361"/>
      <c r="K10" s="2361" t="str">
        <f>'Part II-Development Team'!H39</f>
        <v>Sugar Creek</v>
      </c>
      <c r="L10" s="2361"/>
    </row>
    <row r="11" spans="1:13" ht="15.75">
      <c r="A11" s="887" t="s">
        <v>3159</v>
      </c>
      <c r="B11" s="884"/>
      <c r="C11" s="936" t="str">
        <f>IF('Part II-Development Team'!H20="","",'Part II-Development Team'!H20)</f>
        <v>Wheat Street Towers, LLC</v>
      </c>
      <c r="D11" s="936"/>
      <c r="E11" s="936"/>
      <c r="F11" s="938" t="s">
        <v>677</v>
      </c>
      <c r="G11" s="936"/>
      <c r="H11" s="2361" t="str">
        <f>'Part II-Development Team'!H54</f>
        <v>The Benoit Group Development, LLC</v>
      </c>
      <c r="I11" s="2361"/>
      <c r="J11" s="2361"/>
      <c r="K11" s="2361" t="str">
        <f>'Part II-Development Team'!H60</f>
        <v>WSCF Development, LLC</v>
      </c>
      <c r="L11" s="2361"/>
    </row>
    <row r="12" spans="1:13" ht="15.75">
      <c r="A12" s="887" t="s">
        <v>3160</v>
      </c>
      <c r="B12" s="884"/>
      <c r="C12" s="879" t="str">
        <f>'Part II-Development Team'!H86</f>
        <v>J. M. Wilkerson Construction Co, Inc.</v>
      </c>
      <c r="D12" s="936"/>
      <c r="E12" s="936"/>
      <c r="F12" s="938" t="s">
        <v>3161</v>
      </c>
      <c r="G12" s="936"/>
      <c r="H12" s="2361" t="str">
        <f>'Part II-Development Team'!H92</f>
        <v xml:space="preserve">Dorchester Management </v>
      </c>
      <c r="I12" s="2361"/>
      <c r="J12" s="2361"/>
      <c r="K12" s="2361"/>
      <c r="L12" s="884"/>
      <c r="M12" s="884"/>
    </row>
    <row r="13" spans="1:13" ht="15.75">
      <c r="A13" s="887" t="s">
        <v>3162</v>
      </c>
      <c r="B13" s="938"/>
      <c r="C13" s="877" t="e">
        <f>#REF!</f>
        <v>#REF!</v>
      </c>
      <c r="D13" s="878" t="e">
        <f>#REF!</f>
        <v>#REF!</v>
      </c>
      <c r="E13" s="937"/>
      <c r="F13" s="938" t="s">
        <v>3489</v>
      </c>
      <c r="G13" s="936"/>
      <c r="H13" s="2364">
        <f>'Part I-Project Information'!H61</f>
        <v>1</v>
      </c>
      <c r="I13" s="2364"/>
      <c r="J13" s="2364"/>
      <c r="K13" s="2364"/>
      <c r="L13" s="884"/>
      <c r="M13" s="884"/>
    </row>
    <row r="14" spans="1:13" ht="15.75">
      <c r="A14" s="887" t="s">
        <v>3488</v>
      </c>
      <c r="B14" s="884"/>
      <c r="C14" s="879" t="str">
        <f>'Part I-Project Information'!H67</f>
        <v>Elderly</v>
      </c>
      <c r="D14" s="2361" t="str">
        <f>IF('Part I-Project Information'!N67=0,"",'Part I-Project Information'!N67)</f>
        <v/>
      </c>
      <c r="E14" s="2361"/>
      <c r="F14" s="938" t="s">
        <v>3163</v>
      </c>
      <c r="G14" s="936"/>
      <c r="H14" s="2365" t="s">
        <v>3777</v>
      </c>
      <c r="I14" s="2365"/>
      <c r="J14" s="2365"/>
      <c r="K14" s="2365" t="s">
        <v>3777</v>
      </c>
      <c r="L14" s="2365"/>
      <c r="M14" s="884"/>
    </row>
    <row r="15" spans="1:13" ht="15.75">
      <c r="A15" s="887" t="s">
        <v>3164</v>
      </c>
      <c r="B15" s="884"/>
      <c r="C15" s="940"/>
      <c r="D15" s="936"/>
      <c r="E15" s="936"/>
      <c r="F15" s="938" t="s">
        <v>3490</v>
      </c>
      <c r="G15" s="936"/>
      <c r="H15" s="936" t="str">
        <f>'Part I-Project Information'!K30</f>
        <v>Urban</v>
      </c>
      <c r="I15" s="936"/>
      <c r="J15" s="936"/>
      <c r="K15" s="936"/>
      <c r="L15" s="884"/>
      <c r="M15" s="884"/>
    </row>
    <row r="16" spans="1:13" ht="15.75">
      <c r="A16" s="887" t="s">
        <v>3814</v>
      </c>
      <c r="B16" s="884"/>
      <c r="C16" s="879">
        <f>'Part I-Project Information'!H86</f>
        <v>0</v>
      </c>
      <c r="D16" s="941" t="s">
        <v>2773</v>
      </c>
      <c r="E16" s="879">
        <f>'Part I-Project Information'!H88</f>
        <v>0</v>
      </c>
      <c r="F16" s="938"/>
      <c r="G16" s="936"/>
      <c r="H16" s="936"/>
      <c r="I16" s="936"/>
      <c r="J16" s="936"/>
      <c r="K16" s="936"/>
      <c r="L16" s="884"/>
      <c r="M16" s="884"/>
    </row>
    <row r="17" spans="1:13" ht="15">
      <c r="A17" s="884"/>
      <c r="B17" s="884"/>
      <c r="C17" s="884"/>
      <c r="D17" s="936"/>
      <c r="E17" s="936"/>
      <c r="F17" s="936"/>
      <c r="G17" s="936"/>
      <c r="H17" s="936"/>
      <c r="I17" s="936"/>
      <c r="J17" s="884"/>
      <c r="K17" s="884"/>
      <c r="L17" s="884"/>
      <c r="M17" s="884"/>
    </row>
    <row r="18" spans="1:13" ht="15.75">
      <c r="A18" s="887" t="s">
        <v>3492</v>
      </c>
      <c r="B18" s="884"/>
      <c r="C18" s="942">
        <f ca="1">'Part IV-Uses of Funds'!G131</f>
        <v>25231313.324578471</v>
      </c>
      <c r="D18" s="943">
        <f ca="1">IF(C18=0,"",$C$29/C18)</f>
        <v>0.45578285410920544</v>
      </c>
      <c r="E18" s="936" t="s">
        <v>3493</v>
      </c>
      <c r="F18" s="938" t="s">
        <v>3494</v>
      </c>
      <c r="G18" s="936"/>
      <c r="H18" s="2363">
        <f>'Part IV-Uses of Funds'!B44</f>
        <v>15521357.279999999</v>
      </c>
      <c r="I18" s="2363"/>
      <c r="J18" s="944">
        <f>IF(H18=0,"",$C$29/H18)</f>
        <v>0.74091458578936853</v>
      </c>
      <c r="K18" s="2361" t="s">
        <v>3495</v>
      </c>
      <c r="L18" s="2361"/>
      <c r="M18" s="884"/>
    </row>
    <row r="19" spans="1:13" ht="15.75">
      <c r="A19" s="887" t="s">
        <v>3165</v>
      </c>
      <c r="B19" s="884"/>
      <c r="C19" s="880" t="e">
        <f ca="1">C18/C13</f>
        <v>#REF!</v>
      </c>
      <c r="D19" s="936"/>
      <c r="E19" s="884"/>
      <c r="F19" s="887" t="s">
        <v>3165</v>
      </c>
      <c r="G19" s="884"/>
      <c r="H19" s="2362" t="e">
        <f>H18/C13</f>
        <v>#REF!</v>
      </c>
      <c r="I19" s="2362"/>
      <c r="J19" s="884"/>
      <c r="K19" s="884"/>
      <c r="L19" s="884"/>
      <c r="M19" s="884"/>
    </row>
    <row r="20" spans="1:13" ht="15.75">
      <c r="A20" s="887" t="s">
        <v>3166</v>
      </c>
      <c r="B20" s="884"/>
      <c r="C20" s="880" t="e">
        <f ca="1">C18/#REF!</f>
        <v>#REF!</v>
      </c>
      <c r="D20" s="945"/>
      <c r="E20" s="946"/>
      <c r="F20" s="887" t="s">
        <v>3166</v>
      </c>
      <c r="G20" s="884"/>
      <c r="H20" s="2362" t="e">
        <f>H18/#REF!</f>
        <v>#REF!</v>
      </c>
      <c r="I20" s="2362"/>
      <c r="J20" s="884"/>
      <c r="K20" s="884"/>
      <c r="L20" s="884"/>
      <c r="M20" s="884"/>
    </row>
    <row r="21" spans="1:13" ht="15.75">
      <c r="A21" s="887"/>
      <c r="B21" s="884"/>
      <c r="C21" s="947"/>
      <c r="D21" s="884"/>
      <c r="E21" s="884"/>
      <c r="F21" s="887"/>
      <c r="G21" s="884"/>
      <c r="H21" s="947"/>
      <c r="I21" s="884"/>
      <c r="J21" s="884"/>
      <c r="K21" s="884"/>
      <c r="L21" s="884"/>
      <c r="M21" s="884"/>
    </row>
    <row r="22" spans="1:13" ht="15">
      <c r="A22" s="933"/>
      <c r="B22" s="933"/>
      <c r="C22" s="933"/>
      <c r="D22" s="933"/>
      <c r="E22" s="933"/>
      <c r="F22" s="933"/>
      <c r="G22" s="933"/>
      <c r="H22" s="933"/>
      <c r="I22" s="933"/>
      <c r="J22" s="933"/>
      <c r="K22" s="933"/>
      <c r="L22" s="933"/>
      <c r="M22" s="939"/>
    </row>
    <row r="23" spans="1:13" ht="15.75">
      <c r="A23" s="948" t="s">
        <v>3167</v>
      </c>
      <c r="B23" s="949"/>
      <c r="C23" s="949"/>
      <c r="D23" s="949"/>
      <c r="E23" s="936"/>
      <c r="F23" s="936"/>
      <c r="G23" s="936"/>
      <c r="H23" s="936"/>
      <c r="I23" s="936"/>
      <c r="J23" s="936"/>
      <c r="K23" s="936"/>
      <c r="L23" s="884"/>
      <c r="M23" s="939"/>
    </row>
    <row r="24" spans="1:13" ht="27" customHeight="1">
      <c r="A24" s="884"/>
      <c r="B24" s="884"/>
      <c r="C24" s="884"/>
      <c r="D24" s="950" t="s">
        <v>3168</v>
      </c>
      <c r="E24" s="884"/>
      <c r="F24" s="884"/>
      <c r="G24" s="884"/>
      <c r="H24" s="884"/>
      <c r="I24" s="884"/>
      <c r="J24" s="884"/>
      <c r="K24" s="884"/>
      <c r="L24" s="884"/>
      <c r="M24" s="939"/>
    </row>
    <row r="25" spans="1:13" ht="15.75">
      <c r="A25" s="887" t="s">
        <v>3169</v>
      </c>
      <c r="B25" s="951" t="str">
        <f>'Part III-Sources of Funds'!E37</f>
        <v>Prudential</v>
      </c>
      <c r="C25" s="952">
        <f>'Part III-Sources of Funds'!I37</f>
        <v>11500000</v>
      </c>
      <c r="D25" s="953" t="s">
        <v>3170</v>
      </c>
      <c r="E25" s="884"/>
      <c r="F25" s="936"/>
      <c r="G25" s="884" t="s">
        <v>3171</v>
      </c>
      <c r="H25" s="884"/>
      <c r="I25" s="884"/>
      <c r="K25" s="952"/>
      <c r="L25" s="936"/>
      <c r="M25" s="939"/>
    </row>
    <row r="26" spans="1:13" ht="15">
      <c r="A26" s="884"/>
      <c r="B26" s="951"/>
      <c r="C26" s="952"/>
      <c r="D26" s="953"/>
      <c r="E26" s="884"/>
      <c r="F26" s="936"/>
      <c r="G26" s="884" t="s">
        <v>3172</v>
      </c>
      <c r="H26" s="884"/>
      <c r="I26" s="884"/>
      <c r="K26" s="954" t="e">
        <f>C29/K25</f>
        <v>#DIV/0!</v>
      </c>
      <c r="L26" s="936"/>
      <c r="M26" s="884"/>
    </row>
    <row r="27" spans="1:13" ht="15">
      <c r="A27" s="884"/>
      <c r="B27" s="951"/>
      <c r="C27" s="952"/>
      <c r="D27" s="953"/>
      <c r="E27" s="884"/>
      <c r="F27" s="936"/>
      <c r="G27" s="884"/>
      <c r="H27" s="884"/>
      <c r="I27" s="884"/>
      <c r="K27" s="936"/>
      <c r="L27" s="936"/>
      <c r="M27" s="884"/>
    </row>
    <row r="28" spans="1:13" ht="15">
      <c r="A28" s="884"/>
      <c r="B28" s="884"/>
      <c r="C28" s="884"/>
      <c r="D28" s="884"/>
      <c r="E28" s="884"/>
      <c r="F28" s="936"/>
      <c r="G28" s="884" t="s">
        <v>3173</v>
      </c>
      <c r="H28" s="884"/>
      <c r="I28" s="884"/>
      <c r="K28" s="952"/>
      <c r="L28" s="936"/>
      <c r="M28" s="884"/>
    </row>
    <row r="29" spans="1:13" ht="16.5" thickBot="1">
      <c r="A29" s="884"/>
      <c r="B29" s="955" t="s">
        <v>3174</v>
      </c>
      <c r="C29" s="956">
        <f>SUM(C25:C27)</f>
        <v>11500000</v>
      </c>
      <c r="D29" s="884"/>
      <c r="E29" s="884"/>
      <c r="F29" s="936"/>
      <c r="G29" s="884" t="s">
        <v>3175</v>
      </c>
      <c r="H29" s="884"/>
      <c r="I29" s="884"/>
      <c r="K29" s="954" t="e">
        <f>C29/K28</f>
        <v>#DIV/0!</v>
      </c>
      <c r="L29" s="936"/>
      <c r="M29" s="884"/>
    </row>
    <row r="30" spans="1:13" ht="16.5" thickTop="1">
      <c r="A30" s="887" t="s">
        <v>3176</v>
      </c>
      <c r="B30" s="955"/>
      <c r="C30" s="957">
        <f>'Part III-Sources of Funds'!I45+'Part III-Sources of Funds'!I46</f>
        <v>13719505</v>
      </c>
      <c r="D30" s="884"/>
      <c r="E30" s="884"/>
      <c r="F30" s="936"/>
      <c r="G30" s="884"/>
      <c r="H30" s="884"/>
      <c r="I30" s="884"/>
      <c r="K30" s="958"/>
      <c r="L30" s="936"/>
      <c r="M30" s="884"/>
    </row>
    <row r="31" spans="1:13" ht="15">
      <c r="A31" s="959" t="s">
        <v>3177</v>
      </c>
      <c r="B31" s="951">
        <f>'Part III-Sources of Funds'!E38</f>
        <v>0</v>
      </c>
      <c r="C31" s="952">
        <f>'Part III-Sources of Funds'!I38</f>
        <v>0</v>
      </c>
      <c r="D31" s="953"/>
      <c r="E31" s="884"/>
      <c r="F31" s="936"/>
      <c r="G31" s="884"/>
      <c r="H31" s="884"/>
      <c r="I31" s="884"/>
      <c r="K31" s="884"/>
      <c r="L31" s="936"/>
      <c r="M31" s="884"/>
    </row>
    <row r="32" spans="1:13" ht="15">
      <c r="A32" s="959" t="s">
        <v>3177</v>
      </c>
      <c r="B32" s="951">
        <f>'Part III-Sources of Funds'!E39</f>
        <v>0</v>
      </c>
      <c r="C32" s="952">
        <f>'Part III-Sources of Funds'!I39</f>
        <v>0</v>
      </c>
      <c r="D32" s="953"/>
      <c r="E32" s="884" t="s">
        <v>254</v>
      </c>
      <c r="F32" s="936"/>
      <c r="G32" s="884" t="s">
        <v>3178</v>
      </c>
      <c r="H32" s="884"/>
      <c r="I32" s="884"/>
      <c r="K32" s="952"/>
      <c r="L32" s="936"/>
      <c r="M32" s="936"/>
    </row>
    <row r="33" spans="1:13" ht="15">
      <c r="A33" s="884"/>
      <c r="B33" s="936"/>
      <c r="C33" s="960"/>
      <c r="D33" s="884"/>
      <c r="E33" s="884"/>
      <c r="F33" s="936"/>
      <c r="G33" s="884" t="s">
        <v>3179</v>
      </c>
      <c r="H33" s="884"/>
      <c r="I33" s="884"/>
      <c r="K33" s="961"/>
      <c r="L33" s="936"/>
      <c r="M33" s="962"/>
    </row>
    <row r="34" spans="1:13" ht="15.75">
      <c r="A34" s="884"/>
      <c r="B34" s="955" t="s">
        <v>3180</v>
      </c>
      <c r="C34" s="960">
        <f>SUM(C31:C32)</f>
        <v>0</v>
      </c>
      <c r="D34" s="884"/>
      <c r="E34" s="884"/>
      <c r="F34" s="884"/>
      <c r="G34" s="884"/>
      <c r="H34" s="884"/>
      <c r="I34" s="884"/>
      <c r="K34" s="936"/>
      <c r="L34" s="884"/>
      <c r="M34" s="962"/>
    </row>
    <row r="35" spans="1:13" ht="15.75">
      <c r="A35" s="884"/>
      <c r="B35" s="955"/>
      <c r="C35" s="884"/>
      <c r="D35" s="884"/>
      <c r="E35" s="884"/>
      <c r="F35" s="884"/>
      <c r="G35" s="884" t="s">
        <v>3181</v>
      </c>
      <c r="H35" s="884"/>
      <c r="I35" s="884"/>
      <c r="K35" s="963" t="e">
        <f>(C36)/K25</f>
        <v>#DIV/0!</v>
      </c>
      <c r="L35" s="884"/>
      <c r="M35" s="936"/>
    </row>
    <row r="36" spans="1:13" ht="15.75">
      <c r="A36" s="884"/>
      <c r="B36" s="955" t="s">
        <v>3182</v>
      </c>
      <c r="C36" s="960">
        <f>C29+C34</f>
        <v>11500000</v>
      </c>
      <c r="D36" s="884"/>
      <c r="E36" s="884"/>
      <c r="F36" s="884"/>
      <c r="G36" s="884"/>
      <c r="H36" s="884"/>
      <c r="I36" s="884"/>
      <c r="K36" s="936"/>
      <c r="L36" s="884"/>
      <c r="M36" s="936"/>
    </row>
    <row r="37" spans="1:13" ht="15.75">
      <c r="A37" s="884"/>
      <c r="B37" s="955"/>
      <c r="C37" s="964"/>
      <c r="D37" s="884"/>
      <c r="E37" s="884"/>
      <c r="F37" s="884"/>
      <c r="G37" s="884" t="s">
        <v>3183</v>
      </c>
      <c r="H37" s="884"/>
      <c r="I37" s="884"/>
      <c r="K37" s="963" t="e">
        <f>+(C36)/K32</f>
        <v>#DIV/0!</v>
      </c>
      <c r="L37" s="884"/>
      <c r="M37" s="962"/>
    </row>
    <row r="38" spans="1:13" ht="15.75">
      <c r="A38" s="884"/>
      <c r="B38" s="955" t="s">
        <v>3184</v>
      </c>
      <c r="C38" s="965">
        <f ca="1">C36/C18</f>
        <v>0.45578285410920544</v>
      </c>
      <c r="D38" s="884"/>
      <c r="E38" s="884"/>
      <c r="F38" s="884"/>
      <c r="G38" s="884"/>
      <c r="H38" s="884"/>
      <c r="I38" s="884"/>
      <c r="K38" s="936"/>
      <c r="L38" s="884"/>
      <c r="M38" s="962"/>
    </row>
    <row r="39" spans="1:13" ht="15.75">
      <c r="A39" s="884"/>
      <c r="B39" s="955"/>
      <c r="C39" s="964"/>
      <c r="D39" s="884"/>
      <c r="E39" s="884"/>
      <c r="F39" s="884"/>
      <c r="G39" s="884"/>
      <c r="H39" s="884"/>
      <c r="I39" s="884"/>
      <c r="K39" s="936"/>
      <c r="L39" s="884"/>
      <c r="M39" s="884"/>
    </row>
    <row r="40" spans="1:13" ht="15.75">
      <c r="A40" s="884"/>
      <c r="B40" s="955" t="s">
        <v>3185</v>
      </c>
      <c r="C40" s="965">
        <f>C36/H18</f>
        <v>0.74091458578936853</v>
      </c>
      <c r="D40" s="884"/>
      <c r="E40" s="884"/>
      <c r="F40" s="887"/>
      <c r="G40" s="887" t="s">
        <v>3186</v>
      </c>
      <c r="H40" s="884"/>
      <c r="I40" s="884"/>
      <c r="K40" s="963">
        <f ca="1">C30/C18</f>
        <v>0.54374914311874034</v>
      </c>
      <c r="L40" s="884"/>
      <c r="M40" s="884"/>
    </row>
    <row r="46" spans="1:13" ht="15.75">
      <c r="A46" s="966" t="s">
        <v>3187</v>
      </c>
      <c r="B46" s="931"/>
      <c r="C46" s="931"/>
      <c r="D46" s="931"/>
      <c r="E46" s="931"/>
      <c r="F46" s="931"/>
      <c r="G46" s="931"/>
      <c r="H46" s="931"/>
      <c r="I46" s="931"/>
      <c r="J46" s="931"/>
      <c r="K46" s="931"/>
      <c r="L46" s="931"/>
      <c r="M46" s="884"/>
    </row>
    <row r="47" spans="1:13" ht="15.75">
      <c r="A47" s="966" t="str">
        <f>C8</f>
        <v>Wheat Street Tower</v>
      </c>
      <c r="B47" s="931"/>
      <c r="C47" s="931"/>
      <c r="D47" s="931"/>
      <c r="E47" s="931"/>
      <c r="F47" s="931"/>
      <c r="G47" s="931"/>
      <c r="H47" s="931"/>
      <c r="I47" s="931"/>
      <c r="J47" s="931"/>
      <c r="K47" s="931"/>
      <c r="L47" s="931"/>
      <c r="M47" s="884"/>
    </row>
    <row r="50" spans="1:14" s="884" customFormat="1" ht="15.75">
      <c r="A50" s="887" t="s">
        <v>3188</v>
      </c>
      <c r="C50" s="967" t="s">
        <v>3189</v>
      </c>
      <c r="E50" s="968" t="s">
        <v>3778</v>
      </c>
      <c r="F50" s="969">
        <v>0.1</v>
      </c>
      <c r="G50" s="968" t="s">
        <v>3779</v>
      </c>
      <c r="H50" s="969">
        <v>0.05</v>
      </c>
      <c r="I50" s="968" t="s">
        <v>3780</v>
      </c>
      <c r="J50" s="969">
        <v>0.03</v>
      </c>
      <c r="K50" s="2359" t="s">
        <v>3190</v>
      </c>
      <c r="L50" s="2360"/>
      <c r="M50" s="28"/>
      <c r="N50" s="28"/>
    </row>
    <row r="51" spans="1:14" s="884" customFormat="1" ht="15.75">
      <c r="A51" s="887"/>
      <c r="C51" s="967"/>
      <c r="E51" s="967"/>
      <c r="F51" s="970"/>
      <c r="G51" s="967"/>
      <c r="H51" s="970"/>
      <c r="I51" s="967"/>
      <c r="J51" s="970"/>
      <c r="K51" s="967"/>
      <c r="M51" s="28"/>
      <c r="N51" s="28"/>
    </row>
    <row r="52" spans="1:14" s="884" customFormat="1" ht="18.75" customHeight="1">
      <c r="B52" s="971" t="s">
        <v>3191</v>
      </c>
      <c r="C52" s="972">
        <f>'Part VII-Pro Forma'!$B$14</f>
        <v>2491500</v>
      </c>
      <c r="D52" s="972"/>
      <c r="E52" s="972">
        <f>$C$52</f>
        <v>2491500</v>
      </c>
      <c r="F52" s="972"/>
      <c r="G52" s="972">
        <f>$C$52</f>
        <v>2491500</v>
      </c>
      <c r="H52" s="972"/>
      <c r="I52" s="972">
        <f>$C$52</f>
        <v>2491500</v>
      </c>
      <c r="J52" s="972"/>
      <c r="K52" s="972">
        <f>$C$52</f>
        <v>2491500</v>
      </c>
      <c r="L52" s="973"/>
      <c r="M52" s="28"/>
      <c r="N52" s="28"/>
    </row>
    <row r="53" spans="1:14" s="884" customFormat="1" ht="18.75" customHeight="1">
      <c r="B53" s="971" t="s">
        <v>3194</v>
      </c>
      <c r="C53" s="972">
        <f>'Part VII-Pro Forma'!B15</f>
        <v>49830</v>
      </c>
      <c r="D53" s="972"/>
      <c r="E53" s="972">
        <f>$C$53</f>
        <v>49830</v>
      </c>
      <c r="F53" s="972"/>
      <c r="G53" s="972">
        <f>$C$53</f>
        <v>49830</v>
      </c>
      <c r="H53" s="972"/>
      <c r="I53" s="972">
        <f>$C$53</f>
        <v>49830</v>
      </c>
      <c r="J53" s="972"/>
      <c r="K53" s="972">
        <f>$C$53</f>
        <v>49830</v>
      </c>
      <c r="L53" s="973"/>
      <c r="M53" s="28"/>
      <c r="N53" s="28"/>
    </row>
    <row r="54" spans="1:14" s="884" customFormat="1" ht="18.75" customHeight="1">
      <c r="B54" s="971" t="s">
        <v>3192</v>
      </c>
      <c r="C54" s="972">
        <f>-($C$52+C53)*0.07</f>
        <v>-177893.1</v>
      </c>
      <c r="D54" s="972"/>
      <c r="E54" s="972">
        <f>-($C$52+E53)*F50</f>
        <v>-254133</v>
      </c>
      <c r="F54" s="974"/>
      <c r="G54" s="972">
        <f>-($C$52+G53)*0.07</f>
        <v>-177893.1</v>
      </c>
      <c r="H54" s="972"/>
      <c r="I54" s="972">
        <f>-($C$52+I53)*0.07</f>
        <v>-177893.1</v>
      </c>
      <c r="J54" s="972"/>
      <c r="K54" s="972">
        <f>-($C$52+K53)*L54</f>
        <v>-254133</v>
      </c>
      <c r="L54" s="975">
        <v>0.1</v>
      </c>
      <c r="M54" s="28"/>
      <c r="N54" s="28"/>
    </row>
    <row r="55" spans="1:14" s="884" customFormat="1" ht="18.75" customHeight="1">
      <c r="B55" s="971" t="s">
        <v>3193</v>
      </c>
      <c r="C55" s="972" t="e">
        <f>#REF!+#REF!</f>
        <v>#REF!</v>
      </c>
      <c r="D55" s="972"/>
      <c r="E55" s="972" t="e">
        <f>$C$55</f>
        <v>#REF!</v>
      </c>
      <c r="F55" s="974"/>
      <c r="G55" s="972" t="e">
        <f>$C$55</f>
        <v>#REF!</v>
      </c>
      <c r="H55" s="972"/>
      <c r="I55" s="972" t="e">
        <f>$C$55</f>
        <v>#REF!</v>
      </c>
      <c r="J55" s="972"/>
      <c r="K55" s="972" t="e">
        <f>$C$55</f>
        <v>#REF!</v>
      </c>
      <c r="L55" s="976"/>
      <c r="M55" s="28"/>
      <c r="N55" s="28"/>
    </row>
    <row r="56" spans="1:14" s="884" customFormat="1" ht="18.75" customHeight="1">
      <c r="B56" s="977" t="s">
        <v>3195</v>
      </c>
      <c r="C56" s="978" t="e">
        <f>SUM(C52:C55)</f>
        <v>#REF!</v>
      </c>
      <c r="D56" s="972"/>
      <c r="E56" s="978" t="e">
        <f>SUM(E52:E55)</f>
        <v>#REF!</v>
      </c>
      <c r="F56" s="972"/>
      <c r="G56" s="978" t="e">
        <f>SUM(G52:G55)</f>
        <v>#REF!</v>
      </c>
      <c r="H56" s="972"/>
      <c r="I56" s="978" t="e">
        <f>SUM(I52:I55)</f>
        <v>#REF!</v>
      </c>
      <c r="J56" s="972"/>
      <c r="K56" s="978" t="e">
        <f>SUM(K52:K55)</f>
        <v>#REF!</v>
      </c>
      <c r="L56" s="973"/>
      <c r="M56" s="28"/>
      <c r="N56" s="28"/>
    </row>
    <row r="57" spans="1:14" s="884" customFormat="1" ht="24" customHeight="1">
      <c r="B57" s="971"/>
      <c r="C57" s="979"/>
      <c r="D57" s="972"/>
      <c r="E57" s="979"/>
      <c r="F57" s="972"/>
      <c r="G57" s="979"/>
      <c r="H57" s="972"/>
      <c r="I57" s="979"/>
      <c r="J57" s="972"/>
      <c r="K57" s="979"/>
      <c r="L57" s="973"/>
      <c r="M57" s="28"/>
      <c r="N57" s="28"/>
    </row>
    <row r="58" spans="1:14" s="884" customFormat="1" ht="18.75" customHeight="1">
      <c r="B58" s="971" t="s">
        <v>3196</v>
      </c>
      <c r="C58" s="972" t="e">
        <f>#REF!+#REF!+#REF!+#REF!</f>
        <v>#REF!</v>
      </c>
      <c r="D58" s="972"/>
      <c r="E58" s="972" t="e">
        <f>$C$58</f>
        <v>#REF!</v>
      </c>
      <c r="F58" s="972"/>
      <c r="G58" s="972" t="e">
        <f>$C$58</f>
        <v>#REF!</v>
      </c>
      <c r="H58" s="972"/>
      <c r="I58" s="972" t="e">
        <f>$C$58</f>
        <v>#REF!</v>
      </c>
      <c r="J58" s="972"/>
      <c r="K58" s="972" t="e">
        <f>$C$58</f>
        <v>#REF!</v>
      </c>
      <c r="L58" s="973"/>
      <c r="M58" s="28"/>
      <c r="N58" s="28"/>
    </row>
    <row r="59" spans="1:14" s="884" customFormat="1" ht="18.75" customHeight="1">
      <c r="B59" s="971" t="s">
        <v>3197</v>
      </c>
      <c r="C59" s="972" t="e">
        <f>#REF!</f>
        <v>#REF!</v>
      </c>
      <c r="D59" s="972"/>
      <c r="E59" s="972" t="e">
        <f>$C$59</f>
        <v>#REF!</v>
      </c>
      <c r="F59" s="972"/>
      <c r="G59" s="972" t="e">
        <f>$C$59</f>
        <v>#REF!</v>
      </c>
      <c r="H59" s="972"/>
      <c r="I59" s="972" t="e">
        <f>$C$59</f>
        <v>#REF!</v>
      </c>
      <c r="J59" s="972"/>
      <c r="K59" s="972" t="e">
        <f>$C$59*(1+$L$59)</f>
        <v>#REF!</v>
      </c>
      <c r="L59" s="980">
        <v>0.04</v>
      </c>
      <c r="M59" s="28"/>
      <c r="N59" s="28"/>
    </row>
    <row r="60" spans="1:14" s="884" customFormat="1" ht="18.75" customHeight="1">
      <c r="B60" s="971" t="s">
        <v>1425</v>
      </c>
      <c r="C60" s="972" t="e">
        <f>#REF!</f>
        <v>#REF!</v>
      </c>
      <c r="D60" s="972"/>
      <c r="E60" s="972" t="e">
        <f>$C$60</f>
        <v>#REF!</v>
      </c>
      <c r="F60" s="972"/>
      <c r="G60" s="972" t="e">
        <f>$C$60</f>
        <v>#REF!</v>
      </c>
      <c r="H60" s="972"/>
      <c r="I60" s="972" t="e">
        <f>$C$60*(1+$J$50)</f>
        <v>#REF!</v>
      </c>
      <c r="J60" s="974"/>
      <c r="K60" s="972" t="e">
        <f>$C$60*(1+$J$50)</f>
        <v>#REF!</v>
      </c>
      <c r="L60" s="975">
        <v>0.03</v>
      </c>
      <c r="M60" s="28"/>
      <c r="N60" s="28"/>
    </row>
    <row r="61" spans="1:14" s="884" customFormat="1" ht="18.75" customHeight="1">
      <c r="B61" s="971" t="s">
        <v>1426</v>
      </c>
      <c r="C61" s="972" t="e">
        <f>#REF!</f>
        <v>#REF!</v>
      </c>
      <c r="D61" s="972"/>
      <c r="E61" s="972" t="e">
        <f>$C$61</f>
        <v>#REF!</v>
      </c>
      <c r="F61" s="972"/>
      <c r="G61" s="972" t="e">
        <f>$C$61*(1+H50)</f>
        <v>#REF!</v>
      </c>
      <c r="H61" s="974"/>
      <c r="I61" s="972" t="e">
        <f>$C$61</f>
        <v>#REF!</v>
      </c>
      <c r="J61" s="972"/>
      <c r="K61" s="972" t="e">
        <f>$C$61*(1+$L$61)</f>
        <v>#REF!</v>
      </c>
      <c r="L61" s="975">
        <v>0.05</v>
      </c>
      <c r="M61" s="28"/>
      <c r="N61" s="28"/>
    </row>
    <row r="62" spans="1:14" s="884" customFormat="1" ht="18.75" customHeight="1">
      <c r="B62" s="977" t="s">
        <v>3198</v>
      </c>
      <c r="C62" s="978" t="e">
        <f>SUM(C58:C61)</f>
        <v>#REF!</v>
      </c>
      <c r="D62" s="972"/>
      <c r="E62" s="978" t="e">
        <f>SUM(E58:E61)</f>
        <v>#REF!</v>
      </c>
      <c r="F62" s="972"/>
      <c r="G62" s="978" t="e">
        <f>SUM(G58:G61)</f>
        <v>#REF!</v>
      </c>
      <c r="H62" s="972"/>
      <c r="I62" s="978" t="e">
        <f>SUM(I58:I61)</f>
        <v>#REF!</v>
      </c>
      <c r="J62" s="972"/>
      <c r="K62" s="978" t="e">
        <f>SUM(K58:K61)</f>
        <v>#REF!</v>
      </c>
      <c r="L62" s="981"/>
      <c r="M62" s="28"/>
      <c r="N62" s="28"/>
    </row>
    <row r="63" spans="1:14" s="884" customFormat="1" ht="24" customHeight="1">
      <c r="B63" s="982"/>
      <c r="C63" s="979"/>
      <c r="D63" s="979"/>
      <c r="E63" s="979"/>
      <c r="F63" s="979"/>
      <c r="G63" s="979"/>
      <c r="H63" s="979"/>
      <c r="I63" s="979"/>
      <c r="J63" s="979"/>
      <c r="K63" s="979"/>
      <c r="L63" s="981"/>
      <c r="M63" s="28"/>
      <c r="N63" s="28"/>
    </row>
    <row r="64" spans="1:14" s="884" customFormat="1" ht="15.75">
      <c r="A64" s="28"/>
      <c r="B64" s="983" t="s">
        <v>3199</v>
      </c>
      <c r="C64" s="984" t="e">
        <f>C56-C62</f>
        <v>#REF!</v>
      </c>
      <c r="D64" s="984"/>
      <c r="E64" s="984" t="e">
        <f>E56-E62</f>
        <v>#REF!</v>
      </c>
      <c r="F64" s="984"/>
      <c r="G64" s="984" t="e">
        <f>G56-G62</f>
        <v>#REF!</v>
      </c>
      <c r="H64" s="984"/>
      <c r="I64" s="984" t="e">
        <f>I56-I62</f>
        <v>#REF!</v>
      </c>
      <c r="J64" s="984"/>
      <c r="K64" s="984" t="e">
        <f>K56-K62</f>
        <v>#REF!</v>
      </c>
      <c r="L64" s="34"/>
      <c r="M64" s="28"/>
      <c r="N64" s="28"/>
    </row>
    <row r="65" spans="1:14" s="884" customFormat="1" ht="24" customHeight="1">
      <c r="A65" s="28"/>
      <c r="B65" s="982"/>
      <c r="C65" s="979"/>
      <c r="D65" s="979"/>
      <c r="E65" s="979"/>
      <c r="F65" s="979"/>
      <c r="G65" s="979"/>
      <c r="H65" s="979"/>
      <c r="I65" s="979"/>
      <c r="J65" s="979"/>
      <c r="K65" s="979"/>
      <c r="L65" s="34"/>
      <c r="M65" s="28"/>
      <c r="N65" s="28"/>
    </row>
    <row r="66" spans="1:14" s="884" customFormat="1" ht="15">
      <c r="A66" s="28"/>
      <c r="B66" s="982" t="s">
        <v>3200</v>
      </c>
      <c r="C66" s="979" t="e">
        <f>#REF!</f>
        <v>#REF!</v>
      </c>
      <c r="D66" s="979"/>
      <c r="E66" s="979" t="e">
        <f>$C$66</f>
        <v>#REF!</v>
      </c>
      <c r="F66" s="979"/>
      <c r="G66" s="979" t="e">
        <f>$C$66</f>
        <v>#REF!</v>
      </c>
      <c r="H66" s="979"/>
      <c r="I66" s="979" t="e">
        <f>$C$66</f>
        <v>#REF!</v>
      </c>
      <c r="J66" s="979"/>
      <c r="K66" s="979" t="e">
        <f>$C$66</f>
        <v>#REF!</v>
      </c>
      <c r="L66" s="34"/>
      <c r="M66" s="28"/>
      <c r="N66" s="28"/>
    </row>
    <row r="67" spans="1:14" s="884" customFormat="1" ht="6" customHeight="1">
      <c r="A67" s="28"/>
      <c r="B67" s="982"/>
      <c r="C67" s="979"/>
      <c r="D67" s="979"/>
      <c r="E67" s="979"/>
      <c r="F67" s="979"/>
      <c r="G67" s="979"/>
      <c r="H67" s="979"/>
      <c r="I67" s="979"/>
      <c r="J67" s="979"/>
      <c r="K67" s="979"/>
      <c r="L67" s="34"/>
      <c r="M67" s="28"/>
      <c r="N67" s="28"/>
    </row>
    <row r="68" spans="1:14" s="884" customFormat="1" ht="15">
      <c r="A68" s="28"/>
      <c r="B68" s="982" t="s">
        <v>3201</v>
      </c>
      <c r="C68" s="979" t="e">
        <f>#REF!</f>
        <v>#REF!</v>
      </c>
      <c r="D68" s="979"/>
      <c r="E68" s="979" t="e">
        <f>$C$68</f>
        <v>#REF!</v>
      </c>
      <c r="F68" s="979"/>
      <c r="G68" s="979" t="e">
        <f>$C$68</f>
        <v>#REF!</v>
      </c>
      <c r="H68" s="979"/>
      <c r="I68" s="979" t="e">
        <f>$C$68</f>
        <v>#REF!</v>
      </c>
      <c r="J68" s="979"/>
      <c r="K68" s="979" t="e">
        <f>$C$68</f>
        <v>#REF!</v>
      </c>
      <c r="L68" s="34"/>
      <c r="M68" s="28"/>
      <c r="N68" s="28"/>
    </row>
    <row r="69" spans="1:14" s="884" customFormat="1" ht="24" customHeight="1">
      <c r="A69" s="28"/>
      <c r="B69" s="985"/>
      <c r="C69" s="979"/>
      <c r="D69" s="972"/>
      <c r="E69" s="979"/>
      <c r="F69" s="972"/>
      <c r="G69" s="979"/>
      <c r="H69" s="972"/>
      <c r="I69" s="979"/>
      <c r="J69" s="972"/>
      <c r="K69" s="979"/>
      <c r="L69" s="34"/>
      <c r="M69" s="28"/>
      <c r="N69" s="28"/>
    </row>
    <row r="70" spans="1:14" s="884" customFormat="1" ht="15.75">
      <c r="A70" s="28"/>
      <c r="B70" s="986" t="s">
        <v>3202</v>
      </c>
      <c r="C70" s="987" t="e">
        <f>C64-C66-C68</f>
        <v>#REF!</v>
      </c>
      <c r="D70" s="988"/>
      <c r="E70" s="987" t="e">
        <f>E64-E66-E68</f>
        <v>#REF!</v>
      </c>
      <c r="F70" s="988"/>
      <c r="G70" s="987" t="e">
        <f>G64-G66-G68</f>
        <v>#REF!</v>
      </c>
      <c r="H70" s="988"/>
      <c r="I70" s="987" t="e">
        <f>I64-I66-I68</f>
        <v>#REF!</v>
      </c>
      <c r="J70" s="988"/>
      <c r="K70" s="987" t="e">
        <f>K64-K66-K68</f>
        <v>#REF!</v>
      </c>
      <c r="L70" s="34"/>
      <c r="M70" s="28"/>
      <c r="N70" s="28"/>
    </row>
    <row r="71" spans="1:14" s="884" customFormat="1" ht="30" customHeight="1">
      <c r="A71" s="28"/>
      <c r="B71" s="971"/>
      <c r="C71" s="972"/>
      <c r="D71" s="972"/>
      <c r="E71" s="972"/>
      <c r="F71" s="972"/>
      <c r="G71" s="972"/>
      <c r="H71" s="972"/>
      <c r="I71" s="972"/>
      <c r="J71" s="972"/>
      <c r="K71" s="972"/>
      <c r="L71" s="34"/>
      <c r="M71" s="28"/>
      <c r="N71" s="28"/>
    </row>
    <row r="72" spans="1:14" s="887" customFormat="1" ht="18.75" customHeight="1">
      <c r="A72" s="266"/>
      <c r="B72" s="989" t="s">
        <v>3203</v>
      </c>
      <c r="C72" s="990" t="e">
        <f>-C70/C75</f>
        <v>#REF!</v>
      </c>
      <c r="D72" s="990"/>
      <c r="E72" s="990" t="e">
        <f>-E70/E75</f>
        <v>#REF!</v>
      </c>
      <c r="F72" s="990"/>
      <c r="G72" s="990" t="e">
        <f>-G70/G75</f>
        <v>#REF!</v>
      </c>
      <c r="H72" s="990"/>
      <c r="I72" s="990" t="e">
        <f>-I70/I75</f>
        <v>#REF!</v>
      </c>
      <c r="J72" s="990"/>
      <c r="K72" s="990" t="e">
        <f>-K70/K75</f>
        <v>#REF!</v>
      </c>
      <c r="L72" s="991"/>
      <c r="M72" s="266"/>
      <c r="N72" s="266"/>
    </row>
    <row r="73" spans="1:14" s="884" customFormat="1" ht="18.75" customHeight="1">
      <c r="A73" s="28"/>
      <c r="B73" s="971" t="s">
        <v>3204</v>
      </c>
      <c r="C73" s="992" t="e">
        <f>C76/C62</f>
        <v>#REF!</v>
      </c>
      <c r="D73" s="992"/>
      <c r="E73" s="992" t="e">
        <f>E76/E62</f>
        <v>#REF!</v>
      </c>
      <c r="F73" s="992"/>
      <c r="G73" s="992" t="e">
        <f>G76/G62</f>
        <v>#REF!</v>
      </c>
      <c r="H73" s="992"/>
      <c r="I73" s="992" t="e">
        <f>I76/I62</f>
        <v>#REF!</v>
      </c>
      <c r="J73" s="992"/>
      <c r="K73" s="992" t="e">
        <f>K76/K62</f>
        <v>#REF!</v>
      </c>
      <c r="L73" s="34"/>
      <c r="M73" s="28"/>
      <c r="N73" s="28"/>
    </row>
    <row r="74" spans="1:14" s="884" customFormat="1" ht="24" customHeight="1">
      <c r="A74" s="28"/>
      <c r="B74" s="971"/>
      <c r="C74" s="972"/>
      <c r="D74" s="972"/>
      <c r="E74" s="972"/>
      <c r="F74" s="972"/>
      <c r="G74" s="972"/>
      <c r="H74" s="972"/>
      <c r="I74" s="972"/>
      <c r="J74" s="972"/>
      <c r="K74" s="972"/>
      <c r="L74" s="34"/>
      <c r="M74" s="28"/>
      <c r="N74" s="28"/>
    </row>
    <row r="75" spans="1:14" s="884" customFormat="1" ht="18.75" customHeight="1">
      <c r="A75" s="28"/>
      <c r="B75" s="971" t="s">
        <v>3205</v>
      </c>
      <c r="C75" s="972">
        <f>'Part VII-Pro Forma'!$B$23+'Part VII-Pro Forma'!$B$24+'Part VII-Pro Forma'!$B$25+'Part VII-Pro Forma'!$B$26</f>
        <v>-576755.08777726337</v>
      </c>
      <c r="D75" s="972"/>
      <c r="E75" s="972">
        <f>$C$75</f>
        <v>-576755.08777726337</v>
      </c>
      <c r="F75" s="972"/>
      <c r="G75" s="972">
        <f>$C$75</f>
        <v>-576755.08777726337</v>
      </c>
      <c r="H75" s="972"/>
      <c r="I75" s="972">
        <f>$C$75</f>
        <v>-576755.08777726337</v>
      </c>
      <c r="J75" s="972"/>
      <c r="K75" s="972">
        <f>$C$75</f>
        <v>-576755.08777726337</v>
      </c>
      <c r="L75" s="34"/>
      <c r="M75" s="28"/>
      <c r="N75" s="28"/>
    </row>
    <row r="76" spans="1:14" s="884" customFormat="1" ht="18.75" customHeight="1">
      <c r="A76" s="28"/>
      <c r="B76" s="971" t="s">
        <v>1207</v>
      </c>
      <c r="C76" s="972" t="e">
        <f>C70+C75</f>
        <v>#REF!</v>
      </c>
      <c r="D76" s="972"/>
      <c r="E76" s="972" t="e">
        <f>E70+E75</f>
        <v>#REF!</v>
      </c>
      <c r="F76" s="972"/>
      <c r="G76" s="972" t="e">
        <f>G70+G75</f>
        <v>#REF!</v>
      </c>
      <c r="H76" s="972"/>
      <c r="I76" s="972" t="e">
        <f>I70+I75</f>
        <v>#REF!</v>
      </c>
      <c r="J76" s="972"/>
      <c r="K76" s="972" t="e">
        <f>K70+K75</f>
        <v>#REF!</v>
      </c>
      <c r="L76" s="34"/>
      <c r="M76" s="28"/>
      <c r="N76" s="28"/>
    </row>
    <row r="77" spans="1:14" s="884" customFormat="1" ht="15" hidden="1">
      <c r="A77" s="28"/>
      <c r="B77" s="971" t="s">
        <v>3206</v>
      </c>
      <c r="C77" s="993" t="e">
        <f>PV(intrate/12,30*12,C75/12,0)</f>
        <v>#NAME?</v>
      </c>
      <c r="D77" s="971"/>
      <c r="E77" s="993" t="e">
        <f>PV(intrate/12,30*12,E75/12,0)</f>
        <v>#NAME?</v>
      </c>
      <c r="F77" s="971"/>
      <c r="G77" s="993" t="e">
        <f>PV(intrate/12,30*12,G75/12,0)</f>
        <v>#NAME?</v>
      </c>
      <c r="H77" s="971"/>
      <c r="I77" s="993" t="e">
        <f>PV(intrate/12,30*12,I75/12,0)</f>
        <v>#NAME?</v>
      </c>
      <c r="J77" s="971"/>
      <c r="K77" s="993" t="e">
        <f>PV(intrate/12,30*12,K75/12,0)</f>
        <v>#NAME?</v>
      </c>
      <c r="L77" s="34"/>
      <c r="M77" s="28"/>
      <c r="N77" s="28"/>
    </row>
    <row r="78" spans="1:14" s="884" customFormat="1" ht="15" hidden="1">
      <c r="A78" s="28"/>
      <c r="B78" s="994" t="s">
        <v>3207</v>
      </c>
      <c r="C78" s="981"/>
      <c r="D78" s="981"/>
      <c r="E78" s="981"/>
      <c r="F78" s="981"/>
      <c r="G78" s="981"/>
      <c r="H78" s="981"/>
      <c r="I78" s="981"/>
      <c r="J78" s="981"/>
      <c r="K78" s="981"/>
      <c r="L78" s="34"/>
      <c r="M78" s="28"/>
      <c r="N78" s="28"/>
    </row>
    <row r="79" spans="1:14" s="884" customFormat="1" ht="15" hidden="1">
      <c r="A79" s="28"/>
      <c r="B79" s="981"/>
      <c r="C79" s="981"/>
      <c r="D79" s="981"/>
      <c r="E79" s="981"/>
      <c r="F79" s="981"/>
      <c r="G79" s="981"/>
      <c r="H79" s="981"/>
      <c r="I79" s="981"/>
      <c r="J79" s="981"/>
      <c r="K79" s="981"/>
      <c r="L79" s="34"/>
      <c r="M79" s="28"/>
      <c r="N79" s="28"/>
    </row>
    <row r="80" spans="1:14" s="884" customFormat="1" ht="15.75" hidden="1" thickBot="1">
      <c r="A80" s="28"/>
      <c r="B80" s="981" t="s">
        <v>3208</v>
      </c>
      <c r="C80" s="995" t="e">
        <f>MIN(C77,E77,G77,I77,K77)</f>
        <v>#NAME?</v>
      </c>
      <c r="D80" s="981"/>
      <c r="E80" s="981" t="s">
        <v>3209</v>
      </c>
      <c r="F80" s="996">
        <v>0.06</v>
      </c>
      <c r="G80" s="34"/>
      <c r="H80" s="34"/>
      <c r="I80" s="34"/>
      <c r="J80" s="34"/>
      <c r="K80" s="34"/>
      <c r="L80" s="34"/>
      <c r="M80" s="28"/>
      <c r="N80" s="28"/>
    </row>
    <row r="81" spans="1:14" s="884" customFormat="1" ht="15" hidden="1">
      <c r="A81" s="28"/>
      <c r="B81" s="981" t="s">
        <v>1796</v>
      </c>
      <c r="C81" s="995" t="e">
        <f>MAX(C77,E77,G77,I77,K77)</f>
        <v>#NAME?</v>
      </c>
      <c r="D81" s="981"/>
      <c r="E81" s="981"/>
      <c r="F81" s="981"/>
      <c r="G81" s="34"/>
      <c r="H81" s="34"/>
      <c r="I81" s="34"/>
      <c r="J81" s="34"/>
      <c r="K81" s="34"/>
      <c r="L81" s="34"/>
      <c r="M81" s="28"/>
      <c r="N81" s="28"/>
    </row>
    <row r="82" spans="1:14" s="884" customFormat="1" ht="15">
      <c r="A82" s="28"/>
      <c r="B82" s="981"/>
      <c r="C82" s="981"/>
      <c r="D82" s="981"/>
      <c r="E82" s="981" t="s">
        <v>254</v>
      </c>
      <c r="F82" s="981"/>
      <c r="G82" s="34"/>
      <c r="H82" s="34"/>
      <c r="I82" s="34"/>
      <c r="J82" s="34"/>
      <c r="K82" s="34"/>
      <c r="L82" s="34"/>
      <c r="M82" s="28"/>
      <c r="N82" s="28"/>
    </row>
    <row r="83" spans="1:14" s="88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8" customWidth="1"/>
    <col min="2" max="2" width="1.7109375" style="898" customWidth="1"/>
    <col min="3" max="3" width="13" style="898" customWidth="1"/>
    <col min="4" max="4" width="11.28515625" style="898" customWidth="1"/>
    <col min="5" max="5" width="14.7109375" style="898" customWidth="1"/>
    <col min="6" max="6" width="15.140625" style="898" customWidth="1"/>
    <col min="7" max="7" width="11.7109375" style="898" customWidth="1"/>
    <col min="8" max="8" width="11.42578125" style="898" customWidth="1"/>
    <col min="9" max="9" width="10.5703125" style="898" customWidth="1"/>
    <col min="10" max="10" width="6" style="898" customWidth="1"/>
    <col min="11" max="11" width="12.7109375" style="898" customWidth="1"/>
    <col min="12" max="12" width="10.85546875" style="898" customWidth="1"/>
    <col min="13" max="13" width="26.28515625" style="898" customWidth="1"/>
    <col min="14" max="14" width="9.140625" style="898"/>
    <col min="15" max="15" width="12.42578125" style="898" customWidth="1"/>
    <col min="16" max="16" width="9.140625" style="898"/>
    <col min="17" max="17" width="11.7109375" style="898" bestFit="1" customWidth="1"/>
    <col min="18" max="16384" width="9.140625" style="898"/>
  </cols>
  <sheetData>
    <row r="1" spans="1:15" ht="13.5" customHeight="1">
      <c r="A1" s="899" t="s">
        <v>3210</v>
      </c>
      <c r="B1" s="997"/>
      <c r="C1" s="898" t="str">
        <f>'Part I-Project Information'!F24</f>
        <v>Wheat Street Tower</v>
      </c>
    </row>
    <row r="2" spans="1:15" ht="13.5" customHeight="1"/>
    <row r="3" spans="1:15" ht="13.5" customHeight="1">
      <c r="A3" s="899" t="s">
        <v>3211</v>
      </c>
      <c r="C3" s="898" t="s">
        <v>3212</v>
      </c>
      <c r="E3" s="998">
        <f>SUM('Part IV-Uses of Funds'!J148,'Part IV-Uses of Funds'!M148,'Part IV-Uses of Funds'!P148)</f>
        <v>21505163.399999999</v>
      </c>
      <c r="G3" s="999" t="s">
        <v>3213</v>
      </c>
      <c r="H3" s="899">
        <v>27.5</v>
      </c>
      <c r="I3" s="898" t="s">
        <v>2555</v>
      </c>
      <c r="K3" s="905" t="s">
        <v>3235</v>
      </c>
      <c r="M3" s="901"/>
      <c r="O3" s="1000"/>
    </row>
    <row r="4" spans="1:15" ht="13.5" customHeight="1">
      <c r="C4" s="898" t="s">
        <v>3840</v>
      </c>
      <c r="E4" s="998">
        <f>SUM('Part IV-Uses of Funds'!G85:H89)</f>
        <v>471976</v>
      </c>
      <c r="G4" s="999" t="s">
        <v>3214</v>
      </c>
      <c r="H4" s="899">
        <f>'Part III-Sources of Funds'!M37</f>
        <v>40</v>
      </c>
      <c r="I4" s="898" t="s">
        <v>2555</v>
      </c>
      <c r="K4" s="1001" t="s">
        <v>3498</v>
      </c>
      <c r="M4" s="901"/>
    </row>
    <row r="5" spans="1:15" ht="13.5" customHeight="1">
      <c r="C5" s="898" t="s">
        <v>3841</v>
      </c>
      <c r="E5" s="998">
        <f ca="1">SUM('Part IV-Uses of Funds'!G96:H102)</f>
        <v>246771.29457846953</v>
      </c>
      <c r="G5" s="999" t="s">
        <v>3214</v>
      </c>
      <c r="H5" s="899">
        <v>15</v>
      </c>
      <c r="I5" s="898" t="s">
        <v>2555</v>
      </c>
      <c r="K5" s="1000">
        <f>-E6</f>
        <v>-13719505</v>
      </c>
    </row>
    <row r="6" spans="1:15" ht="13.5" customHeight="1">
      <c r="C6" s="898" t="s">
        <v>3215</v>
      </c>
      <c r="E6" s="1002">
        <f>'Part III-Sources of Funds'!$I$45+'Part III-Sources of Funds'!$I$46</f>
        <v>13719505</v>
      </c>
      <c r="G6" s="999" t="s">
        <v>3216</v>
      </c>
      <c r="H6" s="1003">
        <v>0.35</v>
      </c>
      <c r="K6" s="1000" t="e">
        <f ca="1">C24</f>
        <v>#VALUE!</v>
      </c>
      <c r="M6" s="898" t="s">
        <v>3217</v>
      </c>
      <c r="O6" s="1004">
        <f>Overview!K32</f>
        <v>0</v>
      </c>
    </row>
    <row r="7" spans="1:15" ht="13.5" customHeight="1">
      <c r="K7" s="1000" t="e">
        <f ca="1">D24</f>
        <v>#VALUE!</v>
      </c>
      <c r="O7" s="1005"/>
    </row>
    <row r="8" spans="1:15" ht="13.5" customHeight="1">
      <c r="A8" s="899" t="s">
        <v>2566</v>
      </c>
      <c r="C8" s="1006">
        <v>1</v>
      </c>
      <c r="D8" s="1006">
        <v>2</v>
      </c>
      <c r="E8" s="1006">
        <v>3</v>
      </c>
      <c r="F8" s="1006">
        <v>4</v>
      </c>
      <c r="G8" s="1006">
        <v>5</v>
      </c>
      <c r="H8" s="1006">
        <v>6</v>
      </c>
      <c r="I8" s="1006">
        <v>7</v>
      </c>
      <c r="K8" s="1000" t="e">
        <f ca="1">E24</f>
        <v>#VALUE!</v>
      </c>
      <c r="M8" s="898" t="s">
        <v>3218</v>
      </c>
      <c r="O8" s="1005" t="e">
        <f>'Part VII-Pro Forma'!$K$67+'Part VII-Pro Forma'!$K$68</f>
        <v>#VALUE!</v>
      </c>
    </row>
    <row r="9" spans="1:15" ht="13.5" customHeight="1">
      <c r="A9" s="898" t="s">
        <v>3219</v>
      </c>
      <c r="C9" s="1007">
        <f>'Part VII-Pro Forma'!B30</f>
        <v>148905.81222273654</v>
      </c>
      <c r="D9" s="1007">
        <f>'Part VII-Pro Forma'!C30</f>
        <v>149021.95022273681</v>
      </c>
      <c r="E9" s="1007">
        <f>'Part VII-Pro Forma'!D30</f>
        <v>148696.96498273697</v>
      </c>
      <c r="F9" s="1007">
        <f>'Part VII-Pro Forma'!E30</f>
        <v>147908.87905793649</v>
      </c>
      <c r="G9" s="1007">
        <f>'Part VII-Pro Forma'!F30</f>
        <v>146634.89660524053</v>
      </c>
      <c r="H9" s="1007">
        <f>'Part VII-Pro Forma'!G30</f>
        <v>144851.37504980864</v>
      </c>
      <c r="I9" s="1007">
        <f>'Part VII-Pro Forma'!H30</f>
        <v>142533.79582597641</v>
      </c>
      <c r="K9" s="1000" t="e">
        <f ca="1">F24</f>
        <v>#VALUE!</v>
      </c>
      <c r="N9" s="1008" t="s">
        <v>3221</v>
      </c>
    </row>
    <row r="10" spans="1:15" ht="13.5" customHeight="1">
      <c r="A10" s="898" t="s">
        <v>3220</v>
      </c>
      <c r="C10" s="1009">
        <f>'Part III-Sources of Funds'!I37-'Part VII-Pro Forma'!B37</f>
        <v>118919.56049453281</v>
      </c>
      <c r="D10" s="1009">
        <f>'Part VII-Pro Forma'!B37-'Part VII-Pro Forma'!C37</f>
        <v>123764.52687242255</v>
      </c>
      <c r="E10" s="1009">
        <f>'Part VII-Pro Forma'!C37-'Part VII-Pro Forma'!D37</f>
        <v>128806.88465594314</v>
      </c>
      <c r="F10" s="1009">
        <f>'Part VII-Pro Forma'!D37-'Part VII-Pro Forma'!E37</f>
        <v>134054.67587551847</v>
      </c>
      <c r="G10" s="1009">
        <f>'Part VII-Pro Forma'!E37-'Part VII-Pro Forma'!F37</f>
        <v>139516.27020629868</v>
      </c>
      <c r="H10" s="1009">
        <f>'Part VII-Pro Forma'!F37-'Part VII-Pro Forma'!G37</f>
        <v>145200.37831691839</v>
      </c>
      <c r="I10" s="1009">
        <f>'Part VII-Pro Forma'!G37-'Part VII-Pro Forma'!H37</f>
        <v>151116.0657620877</v>
      </c>
      <c r="K10" s="1000" t="e">
        <f ca="1">G24</f>
        <v>#VALUE!</v>
      </c>
      <c r="N10" s="1008" t="s">
        <v>3222</v>
      </c>
      <c r="O10" s="1005"/>
    </row>
    <row r="11" spans="1:15" ht="13.5" customHeight="1">
      <c r="A11" s="898" t="s">
        <v>3220</v>
      </c>
      <c r="C11" s="1009" t="e">
        <f>'Part III-Sources of Funds'!I38-'Part VII-Pro Forma'!B38</f>
        <v>#VALUE!</v>
      </c>
      <c r="D11" s="1009" t="e">
        <f>'Part VII-Pro Forma'!B38-'Part VII-Pro Forma'!C38</f>
        <v>#VALUE!</v>
      </c>
      <c r="E11" s="1009" t="e">
        <f>'Part VII-Pro Forma'!C38-'Part VII-Pro Forma'!D38</f>
        <v>#VALUE!</v>
      </c>
      <c r="F11" s="1009" t="e">
        <f>'Part VII-Pro Forma'!D38-'Part VII-Pro Forma'!E38</f>
        <v>#VALUE!</v>
      </c>
      <c r="G11" s="1009" t="e">
        <f>'Part VII-Pro Forma'!E38-'Part VII-Pro Forma'!F38</f>
        <v>#VALUE!</v>
      </c>
      <c r="H11" s="1009" t="e">
        <f>'Part VII-Pro Forma'!F38-'Part VII-Pro Forma'!G38</f>
        <v>#VALUE!</v>
      </c>
      <c r="I11" s="1009" t="e">
        <f>'Part VII-Pro Forma'!G38-'Part VII-Pro Forma'!H38</f>
        <v>#VALUE!</v>
      </c>
      <c r="K11" s="1000" t="e">
        <f ca="1">H24</f>
        <v>#VALUE!</v>
      </c>
      <c r="O11" s="1005"/>
    </row>
    <row r="12" spans="1:15" ht="13.5" customHeight="1">
      <c r="A12" s="898" t="s">
        <v>3220</v>
      </c>
      <c r="C12" s="1009"/>
      <c r="D12" s="1009"/>
      <c r="E12" s="1009"/>
      <c r="F12" s="1009"/>
      <c r="G12" s="1009"/>
      <c r="H12" s="1009"/>
      <c r="I12" s="1009"/>
      <c r="K12" s="1000" t="e">
        <f ca="1">I24</f>
        <v>#VALUE!</v>
      </c>
      <c r="M12" s="898" t="s">
        <v>3224</v>
      </c>
      <c r="N12" s="1010">
        <v>0.06</v>
      </c>
      <c r="O12" s="1005">
        <f>N12*O6</f>
        <v>0</v>
      </c>
    </row>
    <row r="13" spans="1:15" ht="13.5" customHeight="1">
      <c r="A13" s="1011" t="s">
        <v>3843</v>
      </c>
      <c r="B13" s="1012"/>
      <c r="C13" s="1013">
        <f>-SUMIF('Part VII-Pro Forma'!$A$13:$L$13,C$8,'Part VII-Pro Forma'!$A$21:$L$21)-SUMIF('Part VII-Pro Forma'!$A$43:$L$43,C$8,'Part VII-Pro Forma'!$A$51:$L$51)-SUMIF('Part VII-Pro Forma'!$A$73:$L$73,C$8,'Part VII-Pro Forma'!$A$81:$L$81)</f>
        <v>72800</v>
      </c>
      <c r="D13" s="1013">
        <f>-SUMIF('Part VII-Pro Forma'!$A$13:$L$13,D$8,'Part VII-Pro Forma'!$A$21:$L$21)-SUMIF('Part VII-Pro Forma'!$A$43:$L$43,D$8,'Part VII-Pro Forma'!$A$51:$L$51)-SUMIF('Part VII-Pro Forma'!$A$73:$L$73,D$8,'Part VII-Pro Forma'!$A$81:$L$81)</f>
        <v>74984</v>
      </c>
      <c r="E13" s="1013">
        <f>-SUMIF('Part VII-Pro Forma'!$A$13:$L$13,E$8,'Part VII-Pro Forma'!$A$21:$L$21)-SUMIF('Part VII-Pro Forma'!$A$43:$L$43,E$8,'Part VII-Pro Forma'!$A$51:$L$51)-SUMIF('Part VII-Pro Forma'!$A$73:$L$73,E$8,'Part VII-Pro Forma'!$A$81:$L$81)</f>
        <v>77233.51999999999</v>
      </c>
      <c r="F13" s="1013">
        <f>-SUMIF('Part VII-Pro Forma'!$A$13:$L$13,F$8,'Part VII-Pro Forma'!$A$21:$L$21)-SUMIF('Part VII-Pro Forma'!$A$43:$L$43,F$8,'Part VII-Pro Forma'!$A$51:$L$51)-SUMIF('Part VII-Pro Forma'!$A$73:$L$73,F$8,'Part VII-Pro Forma'!$A$81:$L$81)</f>
        <v>79550.525599999994</v>
      </c>
      <c r="G13" s="1013">
        <f>-SUMIF('Part VII-Pro Forma'!$A$13:$L$13,G$8,'Part VII-Pro Forma'!$A$21:$L$21)-SUMIF('Part VII-Pro Forma'!$A$43:$L$43,G$8,'Part VII-Pro Forma'!$A$51:$L$51)-SUMIF('Part VII-Pro Forma'!$A$73:$L$73,G$8,'Part VII-Pro Forma'!$A$81:$L$81)</f>
        <v>81937.041367999991</v>
      </c>
      <c r="H13" s="1013">
        <f>-SUMIF('Part VII-Pro Forma'!$A$13:$L$13,H$8,'Part VII-Pro Forma'!$A$21:$L$21)-SUMIF('Part VII-Pro Forma'!$A$43:$L$43,H$8,'Part VII-Pro Forma'!$A$51:$L$51)-SUMIF('Part VII-Pro Forma'!$A$73:$L$73,H$8,'Part VII-Pro Forma'!$A$81:$L$81)</f>
        <v>84395.152609039986</v>
      </c>
      <c r="I13" s="1013">
        <f>-SUMIF('Part VII-Pro Forma'!$A$13:$L$13,I$8,'Part VII-Pro Forma'!$A$21:$L$21)-SUMIF('Part VII-Pro Forma'!$A$43:$L$43,I$8,'Part VII-Pro Forma'!$A$51:$L$51)-SUMIF('Part VII-Pro Forma'!$A$73:$L$73,I$8,'Part VII-Pro Forma'!$A$81:$L$81)</f>
        <v>86927.007187311188</v>
      </c>
      <c r="K13" s="1000" t="e">
        <f ca="1">C44</f>
        <v>#VALUE!</v>
      </c>
      <c r="O13" s="1005"/>
    </row>
    <row r="14" spans="1:15" ht="13.5" customHeight="1">
      <c r="A14" s="1011" t="s">
        <v>3844</v>
      </c>
      <c r="B14" s="1012"/>
      <c r="C14" s="1013">
        <f>-SUMIF('Part VII-Pro Forma'!$A$13:$L$13,C$8,'Part VII-Pro Forma'!$A$29:$L$29)-SUMIF('Part VII-Pro Forma'!$A$43:$L$43,C$8,'Part VII-Pro Forma'!$A$59:$L$59)-SUMIF('Part VII-Pro Forma'!$A$73:$L$73,C$8,'Part VII-Pro Forma'!$A$89:$L$89)</f>
        <v>0</v>
      </c>
      <c r="D14" s="1013">
        <f>-SUMIF('Part VII-Pro Forma'!$A$13:$L$13,D$8,'Part VII-Pro Forma'!$A$29:$L$29)-SUMIF('Part VII-Pro Forma'!$A$43:$L$43,D$8,'Part VII-Pro Forma'!$A$59:$L$59)-SUMIF('Part VII-Pro Forma'!$A$73:$L$73,D$8,'Part VII-Pro Forma'!$A$89:$L$89)</f>
        <v>0</v>
      </c>
      <c r="E14" s="1013">
        <f>-SUMIF('Part VII-Pro Forma'!$A$13:$L$13,E$8,'Part VII-Pro Forma'!$A$29:$L$29)-SUMIF('Part VII-Pro Forma'!$A$43:$L$43,E$8,'Part VII-Pro Forma'!$A$59:$L$59)-SUMIF('Part VII-Pro Forma'!$A$73:$L$73,E$8,'Part VII-Pro Forma'!$A$89:$L$89)</f>
        <v>0</v>
      </c>
      <c r="F14" s="1013">
        <f>-SUMIF('Part VII-Pro Forma'!$A$13:$L$13,F$8,'Part VII-Pro Forma'!$A$29:$L$29)-SUMIF('Part VII-Pro Forma'!$A$43:$L$43,F$8,'Part VII-Pro Forma'!$A$59:$L$59)-SUMIF('Part VII-Pro Forma'!$A$73:$L$73,F$8,'Part VII-Pro Forma'!$A$89:$L$89)</f>
        <v>0</v>
      </c>
      <c r="G14" s="1013">
        <f>-SUMIF('Part VII-Pro Forma'!$A$13:$L$13,G$8,'Part VII-Pro Forma'!$A$29:$L$29)-SUMIF('Part VII-Pro Forma'!$A$43:$L$43,G$8,'Part VII-Pro Forma'!$A$59:$L$59)-SUMIF('Part VII-Pro Forma'!$A$73:$L$73,G$8,'Part VII-Pro Forma'!$A$89:$L$89)</f>
        <v>0</v>
      </c>
      <c r="H14" s="1013">
        <f>-SUMIF('Part VII-Pro Forma'!$A$13:$L$13,H$8,'Part VII-Pro Forma'!$A$29:$L$29)-SUMIF('Part VII-Pro Forma'!$A$43:$L$43,H$8,'Part VII-Pro Forma'!$A$59:$L$59)-SUMIF('Part VII-Pro Forma'!$A$73:$L$73,H$8,'Part VII-Pro Forma'!$A$89:$L$89)</f>
        <v>0</v>
      </c>
      <c r="I14" s="1013">
        <f>-SUMIF('Part VII-Pro Forma'!$A$13:$L$13,I$8,'Part VII-Pro Forma'!$A$29:$L$29)-SUMIF('Part VII-Pro Forma'!$A$43:$L$43,I$8,'Part VII-Pro Forma'!$A$59:$L$59)-SUMIF('Part VII-Pro Forma'!$A$73:$L$73,I$8,'Part VII-Pro Forma'!$A$89:$L$89)</f>
        <v>0</v>
      </c>
      <c r="K14" s="1000" t="e">
        <f ca="1">D44</f>
        <v>#VALUE!</v>
      </c>
      <c r="M14" s="898" t="s">
        <v>3227</v>
      </c>
      <c r="O14" s="1005" t="e">
        <f>O6-O8-O12</f>
        <v>#VALUE!</v>
      </c>
    </row>
    <row r="15" spans="1:15" ht="13.5" customHeight="1">
      <c r="A15" s="1014" t="s">
        <v>3223</v>
      </c>
      <c r="C15" s="1015">
        <f t="shared" ref="C15:I15" si="0">$E$3/$H$3</f>
        <v>782005.94181818177</v>
      </c>
      <c r="D15" s="1015">
        <f t="shared" si="0"/>
        <v>782005.94181818177</v>
      </c>
      <c r="E15" s="1015">
        <f t="shared" si="0"/>
        <v>782005.94181818177</v>
      </c>
      <c r="F15" s="1015">
        <f t="shared" si="0"/>
        <v>782005.94181818177</v>
      </c>
      <c r="G15" s="1015">
        <f t="shared" si="0"/>
        <v>782005.94181818177</v>
      </c>
      <c r="H15" s="1015">
        <f t="shared" si="0"/>
        <v>782005.94181818177</v>
      </c>
      <c r="I15" s="1015">
        <f t="shared" si="0"/>
        <v>782005.94181818177</v>
      </c>
      <c r="K15" s="1000" t="e">
        <f ca="1">E44</f>
        <v>#VALUE!</v>
      </c>
      <c r="O15" s="1005"/>
    </row>
    <row r="16" spans="1:15" ht="13.5" customHeight="1">
      <c r="A16" s="1014" t="s">
        <v>3225</v>
      </c>
      <c r="C16" s="1015">
        <f ca="1">IF(C$8&lt;=$H$4,($E$4/$H$4),0)+IF(C$8&lt;=$H$5,($E$5/$H$5),0)</f>
        <v>28250.819638564637</v>
      </c>
      <c r="D16" s="1015">
        <f t="shared" ref="D16:I16" ca="1" si="1">IF(D$8&lt;=$H$4,($E$4/$H$4),0)+IF(D$8&lt;=$H$5,($E$5/$H$5),0)</f>
        <v>28250.819638564637</v>
      </c>
      <c r="E16" s="1015">
        <f t="shared" ca="1" si="1"/>
        <v>28250.819638564637</v>
      </c>
      <c r="F16" s="1015">
        <f t="shared" ca="1" si="1"/>
        <v>28250.819638564637</v>
      </c>
      <c r="G16" s="1015">
        <f t="shared" ca="1" si="1"/>
        <v>28250.819638564637</v>
      </c>
      <c r="H16" s="1015">
        <f t="shared" ca="1" si="1"/>
        <v>28250.819638564637</v>
      </c>
      <c r="I16" s="1015">
        <f t="shared" ca="1" si="1"/>
        <v>28250.819638564637</v>
      </c>
      <c r="K16" s="1000" t="e">
        <f ca="1">F44</f>
        <v>#VALUE!</v>
      </c>
      <c r="M16" s="898" t="s">
        <v>3229</v>
      </c>
      <c r="O16" s="1005">
        <f>E3</f>
        <v>21505163.399999999</v>
      </c>
    </row>
    <row r="17" spans="1:17" ht="13.5" customHeight="1">
      <c r="A17" s="1014" t="s">
        <v>3226</v>
      </c>
      <c r="C17" s="1009" t="e">
        <f t="shared" ref="C17:I17" ca="1" si="2">C9+C10+C11+C12+C13+C14-C15-C16</f>
        <v>#VALUE!</v>
      </c>
      <c r="D17" s="1009" t="e">
        <f t="shared" ca="1" si="2"/>
        <v>#VALUE!</v>
      </c>
      <c r="E17" s="1009" t="e">
        <f t="shared" ca="1" si="2"/>
        <v>#VALUE!</v>
      </c>
      <c r="F17" s="1009" t="e">
        <f t="shared" ca="1" si="2"/>
        <v>#VALUE!</v>
      </c>
      <c r="G17" s="1009" t="e">
        <f t="shared" ca="1" si="2"/>
        <v>#VALUE!</v>
      </c>
      <c r="H17" s="1009" t="e">
        <f t="shared" ca="1" si="2"/>
        <v>#VALUE!</v>
      </c>
      <c r="I17" s="1009" t="e">
        <f t="shared" ca="1" si="2"/>
        <v>#VALUE!</v>
      </c>
      <c r="K17" s="1000" t="e">
        <f ca="1">G44</f>
        <v>#VALUE!</v>
      </c>
      <c r="M17" s="898" t="s">
        <v>3223</v>
      </c>
      <c r="O17" s="1005">
        <f>20*(E3/H3)</f>
        <v>15640118.836363636</v>
      </c>
    </row>
    <row r="18" spans="1:17" ht="13.5" customHeight="1">
      <c r="A18" s="1014" t="s">
        <v>3228</v>
      </c>
      <c r="C18" s="1016" t="e">
        <f t="shared" ref="C18:I18" ca="1" si="3">C17*$H$6</f>
        <v>#VALUE!</v>
      </c>
      <c r="D18" s="1016" t="e">
        <f t="shared" ca="1" si="3"/>
        <v>#VALUE!</v>
      </c>
      <c r="E18" s="1016" t="e">
        <f t="shared" ca="1" si="3"/>
        <v>#VALUE!</v>
      </c>
      <c r="F18" s="1016" t="e">
        <f t="shared" ca="1" si="3"/>
        <v>#VALUE!</v>
      </c>
      <c r="G18" s="1016" t="e">
        <f t="shared" ca="1" si="3"/>
        <v>#VALUE!</v>
      </c>
      <c r="H18" s="1016" t="e">
        <f t="shared" ca="1" si="3"/>
        <v>#VALUE!</v>
      </c>
      <c r="I18" s="1016" t="e">
        <f t="shared" ca="1" si="3"/>
        <v>#VALUE!</v>
      </c>
      <c r="K18" s="1000" t="e">
        <f ca="1">H44</f>
        <v>#VALUE!</v>
      </c>
      <c r="O18" s="1005"/>
    </row>
    <row r="19" spans="1:17" ht="13.5" customHeight="1">
      <c r="A19" s="1014"/>
      <c r="C19" s="1007"/>
      <c r="D19" s="1007"/>
      <c r="E19" s="1007"/>
      <c r="F19" s="1007"/>
      <c r="G19" s="1007"/>
      <c r="H19" s="1007"/>
      <c r="I19" s="1007"/>
      <c r="K19" s="1000" t="e">
        <f ca="1">I44</f>
        <v>#VALUE!</v>
      </c>
      <c r="M19" s="898" t="s">
        <v>3233</v>
      </c>
      <c r="O19" s="1005">
        <f>O16-O17</f>
        <v>5865044.5636363626</v>
      </c>
    </row>
    <row r="20" spans="1:17" ht="13.5" customHeight="1">
      <c r="A20" s="898" t="s">
        <v>3230</v>
      </c>
      <c r="C20" s="1009" t="e">
        <f t="shared" ref="C20:I20" ca="1" si="4">C9-C18</f>
        <v>#VALUE!</v>
      </c>
      <c r="D20" s="1009" t="e">
        <f t="shared" ca="1" si="4"/>
        <v>#VALUE!</v>
      </c>
      <c r="E20" s="1009" t="e">
        <f t="shared" ca="1" si="4"/>
        <v>#VALUE!</v>
      </c>
      <c r="F20" s="1009" t="e">
        <f t="shared" ca="1" si="4"/>
        <v>#VALUE!</v>
      </c>
      <c r="G20" s="1009" t="e">
        <f t="shared" ca="1" si="4"/>
        <v>#VALUE!</v>
      </c>
      <c r="H20" s="1009" t="e">
        <f t="shared" ca="1" si="4"/>
        <v>#VALUE!</v>
      </c>
      <c r="I20" s="1009" t="e">
        <f t="shared" ca="1" si="4"/>
        <v>#VALUE!</v>
      </c>
      <c r="K20" s="1000" t="e">
        <f ca="1">C64</f>
        <v>#VALUE!</v>
      </c>
      <c r="O20" s="1005"/>
    </row>
    <row r="21" spans="1:17" ht="13.5" customHeight="1">
      <c r="A21" s="898" t="s">
        <v>3231</v>
      </c>
      <c r="C21" s="1016">
        <f ca="1">'Part IV-Uses of Funds'!$J$174</f>
        <v>885891.18223086908</v>
      </c>
      <c r="D21" s="1016">
        <f t="shared" ref="D21:I21" ca="1" si="5">C21</f>
        <v>885891.18223086908</v>
      </c>
      <c r="E21" s="1016">
        <f t="shared" ca="1" si="5"/>
        <v>885891.18223086908</v>
      </c>
      <c r="F21" s="1016">
        <f t="shared" ca="1" si="5"/>
        <v>885891.18223086908</v>
      </c>
      <c r="G21" s="1016">
        <f t="shared" ca="1" si="5"/>
        <v>885891.18223086908</v>
      </c>
      <c r="H21" s="1016">
        <f t="shared" ca="1" si="5"/>
        <v>885891.18223086908</v>
      </c>
      <c r="I21" s="1016">
        <f t="shared" ca="1" si="5"/>
        <v>885891.18223086908</v>
      </c>
      <c r="J21" s="898" t="s">
        <v>254</v>
      </c>
      <c r="K21" s="1000" t="e">
        <f>D64</f>
        <v>#VALUE!</v>
      </c>
      <c r="O21" s="1005"/>
    </row>
    <row r="22" spans="1:17" ht="13.5" customHeight="1">
      <c r="A22" s="898" t="s">
        <v>3232</v>
      </c>
      <c r="C22" s="1016">
        <f ca="1">C21</f>
        <v>885891.18223086908</v>
      </c>
      <c r="D22" s="1016">
        <f t="shared" ref="D22:I22" ca="1" si="6">D21</f>
        <v>885891.18223086908</v>
      </c>
      <c r="E22" s="1016">
        <f t="shared" ca="1" si="6"/>
        <v>885891.18223086908</v>
      </c>
      <c r="F22" s="1016">
        <f t="shared" ca="1" si="6"/>
        <v>885891.18223086908</v>
      </c>
      <c r="G22" s="1016">
        <f t="shared" ca="1" si="6"/>
        <v>885891.18223086908</v>
      </c>
      <c r="H22" s="1016">
        <f t="shared" ca="1" si="6"/>
        <v>885891.18223086908</v>
      </c>
      <c r="I22" s="1016">
        <f t="shared" ca="1" si="6"/>
        <v>885891.18223086908</v>
      </c>
      <c r="K22" s="1000" t="e">
        <f>E64</f>
        <v>#VALUE!</v>
      </c>
      <c r="M22" s="898" t="s">
        <v>3217</v>
      </c>
      <c r="O22" s="1005">
        <f>O6</f>
        <v>0</v>
      </c>
    </row>
    <row r="23" spans="1:17" ht="13.5" customHeight="1">
      <c r="A23" s="898" t="s">
        <v>3234</v>
      </c>
      <c r="C23" s="1007">
        <v>0</v>
      </c>
      <c r="D23" s="1007">
        <v>0</v>
      </c>
      <c r="E23" s="1007">
        <v>0</v>
      </c>
      <c r="F23" s="1007">
        <v>0</v>
      </c>
      <c r="G23" s="1007">
        <v>0</v>
      </c>
      <c r="H23" s="1007">
        <v>0</v>
      </c>
      <c r="I23" s="1007">
        <v>0</v>
      </c>
      <c r="K23" s="1000" t="e">
        <f>F64</f>
        <v>#VALUE!</v>
      </c>
      <c r="M23" s="898" t="s">
        <v>3236</v>
      </c>
      <c r="O23" s="1005">
        <f>O19</f>
        <v>5865044.5636363626</v>
      </c>
    </row>
    <row r="24" spans="1:17" ht="13.5" customHeight="1">
      <c r="A24" s="898" t="s">
        <v>3235</v>
      </c>
      <c r="C24" s="1009" t="e">
        <f t="shared" ref="C24:I24" ca="1" si="7">SUM(C20:C23)</f>
        <v>#VALUE!</v>
      </c>
      <c r="D24" s="1009" t="e">
        <f t="shared" ca="1" si="7"/>
        <v>#VALUE!</v>
      </c>
      <c r="E24" s="1009" t="e">
        <f t="shared" ca="1" si="7"/>
        <v>#VALUE!</v>
      </c>
      <c r="F24" s="1009" t="e">
        <f t="shared" ca="1" si="7"/>
        <v>#VALUE!</v>
      </c>
      <c r="G24" s="1009" t="e">
        <f t="shared" ca="1" si="7"/>
        <v>#VALUE!</v>
      </c>
      <c r="H24" s="1009" t="e">
        <f t="shared" ca="1" si="7"/>
        <v>#VALUE!</v>
      </c>
      <c r="I24" s="1009" t="e">
        <f t="shared" ca="1" si="7"/>
        <v>#VALUE!</v>
      </c>
      <c r="K24" s="1000" t="e">
        <f>G64</f>
        <v>#VALUE!</v>
      </c>
      <c r="O24" s="1005"/>
    </row>
    <row r="25" spans="1:17" ht="13.5" customHeight="1">
      <c r="K25" s="1000" t="e">
        <f>H64</f>
        <v>#VALUE!</v>
      </c>
      <c r="M25" s="898" t="s">
        <v>3237</v>
      </c>
      <c r="O25" s="1005">
        <f>O22-O23</f>
        <v>-5865044.5636363626</v>
      </c>
      <c r="Q25" s="1017"/>
    </row>
    <row r="26" spans="1:17" ht="13.5" customHeight="1">
      <c r="A26" s="1018"/>
      <c r="B26" s="1018"/>
      <c r="C26" s="1018"/>
      <c r="D26" s="1018"/>
      <c r="E26" s="1018"/>
      <c r="F26" s="1018"/>
      <c r="G26" s="1018"/>
      <c r="H26" s="1018"/>
      <c r="I26" s="1018"/>
      <c r="K26" s="1000"/>
      <c r="O26" s="1005"/>
    </row>
    <row r="27" spans="1:17" ht="13.5" customHeight="1">
      <c r="K27" s="1000"/>
      <c r="M27" s="898" t="s">
        <v>3238</v>
      </c>
      <c r="N27" s="1019"/>
      <c r="O27" s="1010">
        <v>0.2</v>
      </c>
    </row>
    <row r="28" spans="1:17" ht="13.5" customHeight="1">
      <c r="A28" s="899" t="s">
        <v>2566</v>
      </c>
      <c r="B28" s="899"/>
      <c r="C28" s="1006">
        <v>8</v>
      </c>
      <c r="D28" s="1006">
        <v>9</v>
      </c>
      <c r="E28" s="1006">
        <v>10</v>
      </c>
      <c r="F28" s="1006">
        <v>11</v>
      </c>
      <c r="G28" s="1006">
        <v>12</v>
      </c>
      <c r="H28" s="1006">
        <v>13</v>
      </c>
      <c r="I28" s="1006">
        <v>14</v>
      </c>
      <c r="N28" s="1019"/>
      <c r="O28" s="1019"/>
    </row>
    <row r="29" spans="1:17" ht="13.5" customHeight="1">
      <c r="A29" s="898" t="s">
        <v>3219</v>
      </c>
      <c r="C29" s="1007">
        <f>'Part VII-Pro Forma'!I30</f>
        <v>139655.7341632545</v>
      </c>
      <c r="D29" s="1007">
        <f>'Part VII-Pro Forma'!J30</f>
        <v>136190.82788723602</v>
      </c>
      <c r="E29" s="1007">
        <f>'Part VII-Pro Forma'!K30</f>
        <v>132111.74520425173</v>
      </c>
      <c r="F29" s="1007">
        <f>'Part VII-Pro Forma'!B60</f>
        <v>127390.1514377197</v>
      </c>
      <c r="G29" s="1007">
        <f>'Part VII-Pro Forma'!C60</f>
        <v>121995.67468307167</v>
      </c>
      <c r="H29" s="1007">
        <f>'Part VII-Pro Forma'!D60</f>
        <v>115896.87034716364</v>
      </c>
      <c r="I29" s="1007">
        <f>'Part VII-Pro Forma'!E60</f>
        <v>109064.18453698279</v>
      </c>
      <c r="N29" s="1019"/>
      <c r="O29" s="1019"/>
    </row>
    <row r="30" spans="1:17" ht="13.5" customHeight="1">
      <c r="A30" s="898" t="s">
        <v>3220</v>
      </c>
      <c r="C30" s="1009">
        <f>'Part VII-Pro Forma'!H37-'Part VII-Pro Forma'!I37</f>
        <v>157272.76744120196</v>
      </c>
      <c r="D30" s="1009">
        <f>'Part VII-Pro Forma'!I37-'Part VII-Pro Forma'!J37</f>
        <v>163680.30264602229</v>
      </c>
      <c r="E30" s="1009">
        <f>'Part VII-Pro Forma'!J37-'Part VII-Pro Forma'!K37</f>
        <v>170348.89072139934</v>
      </c>
      <c r="F30" s="1009">
        <f>'Part VII-Pro Forma'!K37-'Part VII-Pro Forma'!B67</f>
        <v>177289.1673640646</v>
      </c>
      <c r="G30" s="1009">
        <f>'Part VII-Pro Forma'!B67-'Part VII-Pro Forma'!C67</f>
        <v>184512.20158544183</v>
      </c>
      <c r="H30" s="1009">
        <f>'Part VII-Pro Forma'!C67-'Part VII-Pro Forma'!D67</f>
        <v>192029.51336555928</v>
      </c>
      <c r="I30" s="1009">
        <f>'Part VII-Pro Forma'!D67-'Part VII-Pro Forma'!E67</f>
        <v>199853.09202620946</v>
      </c>
    </row>
    <row r="31" spans="1:17" ht="13.5" customHeight="1">
      <c r="A31" s="898" t="s">
        <v>3220</v>
      </c>
      <c r="C31" s="1009" t="e">
        <f>'Part VII-Pro Forma'!H38-'Part VII-Pro Forma'!I38</f>
        <v>#VALUE!</v>
      </c>
      <c r="D31" s="1009" t="e">
        <f>'Part VII-Pro Forma'!I38-'Part VII-Pro Forma'!J38</f>
        <v>#VALUE!</v>
      </c>
      <c r="E31" s="1009" t="e">
        <f>'Part VII-Pro Forma'!J38-'Part VII-Pro Forma'!K38</f>
        <v>#VALUE!</v>
      </c>
      <c r="F31" s="1009" t="e">
        <f>'Part VII-Pro Forma'!K38-'Part VII-Pro Forma'!B68</f>
        <v>#VALUE!</v>
      </c>
      <c r="G31" s="1009" t="e">
        <f>'Part VII-Pro Forma'!B68-'Part VII-Pro Forma'!C68</f>
        <v>#VALUE!</v>
      </c>
      <c r="H31" s="1009" t="e">
        <f>'Part VII-Pro Forma'!C68-'Part VII-Pro Forma'!D68</f>
        <v>#VALUE!</v>
      </c>
      <c r="I31" s="1009" t="e">
        <f>'Part VII-Pro Forma'!D68-'Part VII-Pro Forma'!E68</f>
        <v>#VALUE!</v>
      </c>
      <c r="K31" s="898" t="s">
        <v>254</v>
      </c>
      <c r="M31" s="898" t="s">
        <v>3239</v>
      </c>
      <c r="O31" s="1007">
        <f>O25*O27</f>
        <v>-1173008.9127272726</v>
      </c>
    </row>
    <row r="32" spans="1:17" ht="13.5" customHeight="1">
      <c r="A32" s="898" t="s">
        <v>3220</v>
      </c>
      <c r="C32" s="1007"/>
      <c r="D32" s="1007"/>
      <c r="E32" s="1007"/>
      <c r="F32" s="1007"/>
      <c r="G32" s="1007"/>
      <c r="H32" s="1007"/>
      <c r="I32" s="1007"/>
    </row>
    <row r="33" spans="1:15" ht="13.5" customHeight="1">
      <c r="A33" s="1011" t="s">
        <v>3843</v>
      </c>
      <c r="B33" s="1012"/>
      <c r="C33" s="1013">
        <f>-SUMIF('Part VII-Pro Forma'!$A$13:$L$13,C$28,'Part VII-Pro Forma'!$A$21:$L$21)-SUMIF('Part VII-Pro Forma'!$A$43:$L$43,C$28,'Part VII-Pro Forma'!$A$51:$L$51)-SUMIF('Part VII-Pro Forma'!$A$73:$L$73,C$28,'Part VII-Pro Forma'!$A$81:$L$81)</f>
        <v>89534.817402930537</v>
      </c>
      <c r="D33" s="1013">
        <f>-SUMIF('Part VII-Pro Forma'!$A$13:$L$13,D$28,'Part VII-Pro Forma'!$A$21:$L$21)-SUMIF('Part VII-Pro Forma'!$A$43:$L$43,D$28,'Part VII-Pro Forma'!$A$51:$L$51)-SUMIF('Part VII-Pro Forma'!$A$73:$L$73,D$28,'Part VII-Pro Forma'!$A$81:$L$81)</f>
        <v>92220.861925018442</v>
      </c>
      <c r="E33" s="1013">
        <f>-SUMIF('Part VII-Pro Forma'!$A$13:$L$13,E$28,'Part VII-Pro Forma'!$A$21:$L$21)-SUMIF('Part VII-Pro Forma'!$A$43:$L$43,E$28,'Part VII-Pro Forma'!$A$51:$L$51)-SUMIF('Part VII-Pro Forma'!$A$73:$L$73,E$28,'Part VII-Pro Forma'!$A$81:$L$81)</f>
        <v>94987.487782768992</v>
      </c>
      <c r="F33" s="1013">
        <f>-SUMIF('Part VII-Pro Forma'!$A$13:$L$13,F$28,'Part VII-Pro Forma'!$A$21:$L$21)-SUMIF('Part VII-Pro Forma'!$A$43:$L$43,F$28,'Part VII-Pro Forma'!$A$51:$L$51)-SUMIF('Part VII-Pro Forma'!$A$73:$L$73,F$28,'Part VII-Pro Forma'!$A$81:$L$81)</f>
        <v>97837.112416252072</v>
      </c>
      <c r="G33" s="1013">
        <f>-SUMIF('Part VII-Pro Forma'!$A$13:$L$13,G$28,'Part VII-Pro Forma'!$A$21:$L$21)-SUMIF('Part VII-Pro Forma'!$A$43:$L$43,G$28,'Part VII-Pro Forma'!$A$51:$L$51)-SUMIF('Part VII-Pro Forma'!$A$73:$L$73,G$28,'Part VII-Pro Forma'!$A$81:$L$81)</f>
        <v>100772.22578873963</v>
      </c>
      <c r="H33" s="1013">
        <f>-SUMIF('Part VII-Pro Forma'!$A$13:$L$13,H$28,'Part VII-Pro Forma'!$A$21:$L$21)-SUMIF('Part VII-Pro Forma'!$A$43:$L$43,H$28,'Part VII-Pro Forma'!$A$51:$L$51)-SUMIF('Part VII-Pro Forma'!$A$73:$L$73,H$28,'Part VII-Pro Forma'!$A$81:$L$81)</f>
        <v>103795.3925624018</v>
      </c>
      <c r="I33" s="1013">
        <f>-SUMIF('Part VII-Pro Forma'!$A$13:$L$13,I$28,'Part VII-Pro Forma'!$A$21:$L$21)-SUMIF('Part VII-Pro Forma'!$A$43:$L$43,I$28,'Part VII-Pro Forma'!$A$51:$L$51)-SUMIF('Part VII-Pro Forma'!$A$73:$L$73,I$28,'Part VII-Pro Forma'!$A$81:$L$81)</f>
        <v>106909.25433927386</v>
      </c>
      <c r="K33" s="898" t="s">
        <v>254</v>
      </c>
      <c r="M33" s="898" t="s">
        <v>3240</v>
      </c>
      <c r="O33" s="1007" t="e">
        <f>O14-O31</f>
        <v>#VALUE!</v>
      </c>
    </row>
    <row r="34" spans="1:15" ht="13.5" customHeight="1">
      <c r="A34" s="1011" t="s">
        <v>3844</v>
      </c>
      <c r="B34" s="1012"/>
      <c r="C34" s="1013">
        <f>-SUMIF('Part VII-Pro Forma'!$A$13:$L$13,C$28,'Part VII-Pro Forma'!$A$29:$L$29)-SUMIF('Part VII-Pro Forma'!$A$43:$L$43,C$28,'Part VII-Pro Forma'!$A$59:$L$59)-SUMIF('Part VII-Pro Forma'!$A$73:$L$73,C$28,'Part VII-Pro Forma'!$A$89:$L$89)</f>
        <v>0</v>
      </c>
      <c r="D34" s="1013">
        <f>-SUMIF('Part VII-Pro Forma'!$A$13:$L$13,D$28,'Part VII-Pro Forma'!$A$29:$L$29)-SUMIF('Part VII-Pro Forma'!$A$43:$L$43,D$28,'Part VII-Pro Forma'!$A$59:$L$59)-SUMIF('Part VII-Pro Forma'!$A$73:$L$73,D$28,'Part VII-Pro Forma'!$A$89:$L$89)</f>
        <v>0</v>
      </c>
      <c r="E34" s="1013">
        <f>-SUMIF('Part VII-Pro Forma'!$A$13:$L$13,E$28,'Part VII-Pro Forma'!$A$29:$L$29)-SUMIF('Part VII-Pro Forma'!$A$43:$L$43,E$28,'Part VII-Pro Forma'!$A$59:$L$59)-SUMIF('Part VII-Pro Forma'!$A$73:$L$73,E$28,'Part VII-Pro Forma'!$A$89:$L$89)</f>
        <v>0</v>
      </c>
      <c r="F34" s="1013">
        <f>-SUMIF('Part VII-Pro Forma'!$A$13:$L$13,F$28,'Part VII-Pro Forma'!$A$29:$L$29)-SUMIF('Part VII-Pro Forma'!$A$43:$L$43,F$28,'Part VII-Pro Forma'!$A$59:$L$59)-SUMIF('Part VII-Pro Forma'!$A$73:$L$73,F$28,'Part VII-Pro Forma'!$A$89:$L$89)</f>
        <v>0</v>
      </c>
      <c r="G34" s="1013">
        <f>-SUMIF('Part VII-Pro Forma'!$A$13:$L$13,G$28,'Part VII-Pro Forma'!$A$29:$L$29)-SUMIF('Part VII-Pro Forma'!$A$43:$L$43,G$28,'Part VII-Pro Forma'!$A$59:$L$59)-SUMIF('Part VII-Pro Forma'!$A$73:$L$73,G$28,'Part VII-Pro Forma'!$A$89:$L$89)</f>
        <v>0</v>
      </c>
      <c r="H34" s="1013">
        <f>-SUMIF('Part VII-Pro Forma'!$A$13:$L$13,H$28,'Part VII-Pro Forma'!$A$29:$L$29)-SUMIF('Part VII-Pro Forma'!$A$43:$L$43,H$28,'Part VII-Pro Forma'!$A$59:$L$59)-SUMIF('Part VII-Pro Forma'!$A$73:$L$73,H$28,'Part VII-Pro Forma'!$A$89:$L$89)</f>
        <v>0</v>
      </c>
      <c r="I34" s="1013">
        <f>-SUMIF('Part VII-Pro Forma'!$A$13:$L$13,I$28,'Part VII-Pro Forma'!$A$29:$L$29)-SUMIF('Part VII-Pro Forma'!$A$43:$L$43,I$28,'Part VII-Pro Forma'!$A$59:$L$59)-SUMIF('Part VII-Pro Forma'!$A$73:$L$73,I$28,'Part VII-Pro Forma'!$A$89:$L$89)</f>
        <v>0</v>
      </c>
    </row>
    <row r="35" spans="1:15" ht="13.5" customHeight="1">
      <c r="A35" s="1014" t="s">
        <v>3223</v>
      </c>
      <c r="C35" s="1015">
        <f t="shared" ref="C35:I35" si="8">$E$3/$H$3</f>
        <v>782005.94181818177</v>
      </c>
      <c r="D35" s="1015">
        <f t="shared" si="8"/>
        <v>782005.94181818177</v>
      </c>
      <c r="E35" s="1015">
        <f t="shared" si="8"/>
        <v>782005.94181818177</v>
      </c>
      <c r="F35" s="1015">
        <f t="shared" si="8"/>
        <v>782005.94181818177</v>
      </c>
      <c r="G35" s="1015">
        <f t="shared" si="8"/>
        <v>782005.94181818177</v>
      </c>
      <c r="H35" s="1015">
        <f t="shared" si="8"/>
        <v>782005.94181818177</v>
      </c>
      <c r="I35" s="1015">
        <f t="shared" si="8"/>
        <v>782005.94181818177</v>
      </c>
    </row>
    <row r="36" spans="1:15" ht="13.5" customHeight="1">
      <c r="A36" s="1014" t="s">
        <v>3225</v>
      </c>
      <c r="C36" s="1007">
        <f ca="1">IF(C$28&lt;=$H$4,($E$4/$H$4),0)+IF(C$28&lt;=$H$5,($E$5/$H$5),0)</f>
        <v>28250.819638564637</v>
      </c>
      <c r="D36" s="1007">
        <f t="shared" ref="D36:I36" ca="1" si="9">IF(D$28&lt;=$H$4,($E$4/$H$4),0)+IF(D$28&lt;=$H$5,($E$5/$H$5),0)</f>
        <v>28250.819638564637</v>
      </c>
      <c r="E36" s="1007">
        <f t="shared" ca="1" si="9"/>
        <v>28250.819638564637</v>
      </c>
      <c r="F36" s="1007">
        <f t="shared" ca="1" si="9"/>
        <v>28250.819638564637</v>
      </c>
      <c r="G36" s="1007">
        <f t="shared" ca="1" si="9"/>
        <v>28250.819638564637</v>
      </c>
      <c r="H36" s="1007">
        <f t="shared" ca="1" si="9"/>
        <v>28250.819638564637</v>
      </c>
      <c r="I36" s="1007">
        <f t="shared" ca="1" si="9"/>
        <v>28250.819638564637</v>
      </c>
    </row>
    <row r="37" spans="1:15" ht="13.5" customHeight="1">
      <c r="A37" s="1014" t="s">
        <v>3226</v>
      </c>
      <c r="C37" s="1009" t="e">
        <f t="shared" ref="C37:I37" ca="1" si="10">C29+C30+C31+C32+C33+C34-C35-C36</f>
        <v>#VALUE!</v>
      </c>
      <c r="D37" s="1009" t="e">
        <f t="shared" ca="1" si="10"/>
        <v>#VALUE!</v>
      </c>
      <c r="E37" s="1009" t="e">
        <f t="shared" ca="1" si="10"/>
        <v>#VALUE!</v>
      </c>
      <c r="F37" s="1009" t="e">
        <f t="shared" ca="1" si="10"/>
        <v>#VALUE!</v>
      </c>
      <c r="G37" s="1009" t="e">
        <f t="shared" ca="1" si="10"/>
        <v>#VALUE!</v>
      </c>
      <c r="H37" s="1009" t="e">
        <f t="shared" ca="1" si="10"/>
        <v>#VALUE!</v>
      </c>
      <c r="I37" s="1009" t="e">
        <f t="shared" ca="1" si="10"/>
        <v>#VALUE!</v>
      </c>
    </row>
    <row r="38" spans="1:15" ht="13.5" customHeight="1">
      <c r="A38" s="898" t="s">
        <v>3228</v>
      </c>
      <c r="C38" s="1016" t="e">
        <f t="shared" ref="C38:I38" ca="1" si="11">C37*$H$6</f>
        <v>#VALUE!</v>
      </c>
      <c r="D38" s="1016" t="e">
        <f t="shared" ca="1" si="11"/>
        <v>#VALUE!</v>
      </c>
      <c r="E38" s="1016" t="e">
        <f t="shared" ca="1" si="11"/>
        <v>#VALUE!</v>
      </c>
      <c r="F38" s="1016" t="e">
        <f t="shared" ca="1" si="11"/>
        <v>#VALUE!</v>
      </c>
      <c r="G38" s="1016" t="e">
        <f t="shared" ca="1" si="11"/>
        <v>#VALUE!</v>
      </c>
      <c r="H38" s="1016" t="e">
        <f t="shared" ca="1" si="11"/>
        <v>#VALUE!</v>
      </c>
      <c r="I38" s="1016" t="e">
        <f t="shared" ca="1" si="11"/>
        <v>#VALUE!</v>
      </c>
    </row>
    <row r="39" spans="1:15" ht="13.5" customHeight="1">
      <c r="C39" s="1009"/>
      <c r="D39" s="1009"/>
      <c r="E39" s="1009"/>
      <c r="F39" s="1009"/>
      <c r="G39" s="1009"/>
      <c r="H39" s="1009"/>
      <c r="I39" s="1009"/>
    </row>
    <row r="40" spans="1:15" ht="13.5" customHeight="1">
      <c r="A40" s="898" t="s">
        <v>3230</v>
      </c>
      <c r="C40" s="1009" t="e">
        <f t="shared" ref="C40:I40" ca="1" si="12">C29-C38</f>
        <v>#VALUE!</v>
      </c>
      <c r="D40" s="1009" t="e">
        <f t="shared" ca="1" si="12"/>
        <v>#VALUE!</v>
      </c>
      <c r="E40" s="1009" t="e">
        <f t="shared" ca="1" si="12"/>
        <v>#VALUE!</v>
      </c>
      <c r="F40" s="1009" t="e">
        <f t="shared" ca="1" si="12"/>
        <v>#VALUE!</v>
      </c>
      <c r="G40" s="1009" t="e">
        <f t="shared" ca="1" si="12"/>
        <v>#VALUE!</v>
      </c>
      <c r="H40" s="1009" t="e">
        <f t="shared" ca="1" si="12"/>
        <v>#VALUE!</v>
      </c>
      <c r="I40" s="1009" t="e">
        <f t="shared" ca="1" si="12"/>
        <v>#VALUE!</v>
      </c>
    </row>
    <row r="41" spans="1:15" ht="13.5" customHeight="1">
      <c r="A41" s="898" t="s">
        <v>3231</v>
      </c>
      <c r="C41" s="1016">
        <f ca="1">C21</f>
        <v>885891.18223086908</v>
      </c>
      <c r="D41" s="1016">
        <f ca="1">C41</f>
        <v>885891.18223086908</v>
      </c>
      <c r="E41" s="1016">
        <f ca="1">D41</f>
        <v>885891.18223086908</v>
      </c>
      <c r="F41" s="1016">
        <v>0</v>
      </c>
      <c r="G41" s="1016">
        <v>0</v>
      </c>
      <c r="H41" s="1016">
        <v>0</v>
      </c>
      <c r="I41" s="1016">
        <v>0</v>
      </c>
    </row>
    <row r="42" spans="1:15" ht="13.5" customHeight="1">
      <c r="A42" s="898" t="s">
        <v>3232</v>
      </c>
      <c r="C42" s="1016">
        <f ca="1">C22</f>
        <v>885891.18223086908</v>
      </c>
      <c r="D42" s="1016">
        <f ca="1">C42</f>
        <v>885891.18223086908</v>
      </c>
      <c r="E42" s="1016">
        <f ca="1">D42</f>
        <v>885891.18223086908</v>
      </c>
      <c r="F42" s="1016">
        <v>0</v>
      </c>
      <c r="G42" s="1016">
        <v>0</v>
      </c>
      <c r="H42" s="1016">
        <v>0</v>
      </c>
      <c r="I42" s="1016">
        <v>0</v>
      </c>
    </row>
    <row r="43" spans="1:15" ht="13.5" customHeight="1">
      <c r="A43" s="898" t="s">
        <v>3234</v>
      </c>
      <c r="C43" s="1009">
        <v>0</v>
      </c>
      <c r="D43" s="1009">
        <v>0</v>
      </c>
      <c r="E43" s="1009">
        <v>0</v>
      </c>
      <c r="F43" s="1009">
        <v>0</v>
      </c>
      <c r="G43" s="1009">
        <v>0</v>
      </c>
      <c r="H43" s="1009">
        <v>0</v>
      </c>
      <c r="I43" s="1009">
        <v>0</v>
      </c>
    </row>
    <row r="44" spans="1:15" ht="13.5" customHeight="1">
      <c r="A44" s="898" t="s">
        <v>3235</v>
      </c>
      <c r="C44" s="1009" t="e">
        <f t="shared" ref="C44:I44" ca="1" si="13">SUM(C40:C43)</f>
        <v>#VALUE!</v>
      </c>
      <c r="D44" s="1009" t="e">
        <f t="shared" ca="1" si="13"/>
        <v>#VALUE!</v>
      </c>
      <c r="E44" s="1009" t="e">
        <f t="shared" ca="1" si="13"/>
        <v>#VALUE!</v>
      </c>
      <c r="F44" s="1009" t="e">
        <f t="shared" ca="1" si="13"/>
        <v>#VALUE!</v>
      </c>
      <c r="G44" s="1009" t="e">
        <f t="shared" ca="1" si="13"/>
        <v>#VALUE!</v>
      </c>
      <c r="H44" s="1009" t="e">
        <f t="shared" ca="1" si="13"/>
        <v>#VALUE!</v>
      </c>
      <c r="I44" s="1009" t="e">
        <f t="shared" ca="1" si="13"/>
        <v>#VALUE!</v>
      </c>
    </row>
    <row r="45" spans="1:15" ht="13.5" customHeight="1"/>
    <row r="46" spans="1:15" ht="13.5" customHeight="1">
      <c r="A46" s="1018"/>
      <c r="B46" s="1018"/>
      <c r="C46" s="1018"/>
      <c r="D46" s="1018"/>
      <c r="E46" s="1018"/>
      <c r="F46" s="1018"/>
      <c r="G46" s="1018"/>
      <c r="H46" s="1018"/>
      <c r="I46" s="1018"/>
    </row>
    <row r="47" spans="1:15" ht="13.5" customHeight="1">
      <c r="I47" s="905"/>
    </row>
    <row r="48" spans="1:15" ht="13.5" customHeight="1">
      <c r="A48" s="899" t="s">
        <v>2566</v>
      </c>
      <c r="B48" s="899"/>
      <c r="C48" s="1006">
        <v>15</v>
      </c>
      <c r="D48" s="899">
        <v>16</v>
      </c>
      <c r="E48" s="899">
        <v>17</v>
      </c>
      <c r="F48" s="899">
        <v>18</v>
      </c>
      <c r="G48" s="899">
        <v>19</v>
      </c>
      <c r="H48" s="899">
        <v>20</v>
      </c>
    </row>
    <row r="49" spans="1:10" ht="13.5" customHeight="1">
      <c r="A49" s="898" t="s">
        <v>3219</v>
      </c>
      <c r="C49" s="1007">
        <f>'Part VII-Pro Forma'!F60</f>
        <v>101461.91626141861</v>
      </c>
      <c r="D49" s="1007">
        <f>'Part VII-Pro Forma'!G60</f>
        <v>93057.178408686887</v>
      </c>
      <c r="E49" s="1007">
        <f>'Part VII-Pro Forma'!H60</f>
        <v>83812.857460896834</v>
      </c>
      <c r="F49" s="1007">
        <f>'Part VII-Pro Forma'!I60</f>
        <v>73694.571906005382</v>
      </c>
      <c r="G49" s="1007">
        <f>'Part VII-Pro Forma'!J60</f>
        <v>62662.62930622499</v>
      </c>
      <c r="H49" s="1007">
        <f>'Part VII-Pro Forma'!K60</f>
        <v>50676.981980646844</v>
      </c>
    </row>
    <row r="50" spans="1:10" ht="13.5" customHeight="1">
      <c r="A50" s="898" t="s">
        <v>3220</v>
      </c>
      <c r="C50" s="1007">
        <f>'Part VII-Pro Forma'!E67-'Part VII-Pro Forma'!F67</f>
        <v>207995.41535264812</v>
      </c>
      <c r="D50" s="1007">
        <f>'Part VII-Pro Forma'!F67-'Part VII-Pro Forma'!G67</f>
        <v>216469.46949435771</v>
      </c>
      <c r="E50" s="1007">
        <f>'Part VII-Pro Forma'!G67-'Part VII-Pro Forma'!H67</f>
        <v>225288.76967658661</v>
      </c>
      <c r="F50" s="1007">
        <f>'Part VII-Pro Forma'!H67-'Part VII-Pro Forma'!I67</f>
        <v>234467.38175571151</v>
      </c>
      <c r="G50" s="1007">
        <f>'Part VII-Pro Forma'!I67-'Part VII-Pro Forma'!J67</f>
        <v>244019.94465280417</v>
      </c>
      <c r="H50" s="1007">
        <f>'Part VII-Pro Forma'!J67-'Part VII-Pro Forma'!K67</f>
        <v>253961.69370116107</v>
      </c>
    </row>
    <row r="51" spans="1:10" ht="13.5" customHeight="1">
      <c r="A51" s="898" t="s">
        <v>3220</v>
      </c>
      <c r="C51" s="1007" t="e">
        <f>'Part VII-Pro Forma'!E68-'Part VII-Pro Forma'!F68</f>
        <v>#VALUE!</v>
      </c>
      <c r="D51" s="1007" t="e">
        <f>'Part VII-Pro Forma'!F68-'Part VII-Pro Forma'!G68</f>
        <v>#VALUE!</v>
      </c>
      <c r="E51" s="1007" t="e">
        <f>'Part VII-Pro Forma'!G68-'Part VII-Pro Forma'!H68</f>
        <v>#VALUE!</v>
      </c>
      <c r="F51" s="1007" t="e">
        <f>'Part VII-Pro Forma'!H68-'Part VII-Pro Forma'!I68</f>
        <v>#VALUE!</v>
      </c>
      <c r="G51" s="1007" t="e">
        <f>'Part VII-Pro Forma'!I68-'Part VII-Pro Forma'!J68</f>
        <v>#VALUE!</v>
      </c>
      <c r="H51" s="1007" t="e">
        <f>'Part VII-Pro Forma'!J68-'Part VII-Pro Forma'!K68</f>
        <v>#VALUE!</v>
      </c>
    </row>
    <row r="52" spans="1:10" ht="13.5" customHeight="1">
      <c r="A52" s="898" t="s">
        <v>3220</v>
      </c>
      <c r="C52" s="1020"/>
      <c r="D52" s="1020"/>
      <c r="E52" s="1020"/>
      <c r="F52" s="1020"/>
      <c r="G52" s="1020"/>
      <c r="H52" s="1020"/>
    </row>
    <row r="53" spans="1:10" ht="13.5" customHeight="1">
      <c r="A53" s="1011" t="s">
        <v>3843</v>
      </c>
      <c r="B53" s="1012"/>
      <c r="C53" s="1013">
        <f>-SUMIF('Part VII-Pro Forma'!$A$13:$L$13,C$48,'Part VII-Pro Forma'!$A$21:$L$21)-SUMIF('Part VII-Pro Forma'!$A$43:$L$43,C$48,'Part VII-Pro Forma'!$A$51:$L$51)-SUMIF('Part VII-Pro Forma'!$A$73:$L$73,C$48,'Part VII-Pro Forma'!$A$81:$L$81)</f>
        <v>110116.53196945209</v>
      </c>
      <c r="D53" s="1013">
        <f>-SUMIF('Part VII-Pro Forma'!$A$13:$L$13,D$48,'Part VII-Pro Forma'!$A$21:$L$21)-SUMIF('Part VII-Pro Forma'!$A$43:$L$43,D$48,'Part VII-Pro Forma'!$A$51:$L$51)-SUMIF('Part VII-Pro Forma'!$A$73:$L$73,D$48,'Part VII-Pro Forma'!$A$81:$L$81)</f>
        <v>113420.02792853565</v>
      </c>
      <c r="E53" s="1013">
        <f>-SUMIF('Part VII-Pro Forma'!$A$13:$L$13,E$48,'Part VII-Pro Forma'!$A$21:$L$21)-SUMIF('Part VII-Pro Forma'!$A$43:$L$43,E$48,'Part VII-Pro Forma'!$A$51:$L$51)-SUMIF('Part VII-Pro Forma'!$A$73:$L$73,E$48,'Part VII-Pro Forma'!$A$81:$L$81)</f>
        <v>116822.6287663917</v>
      </c>
      <c r="F53" s="1013">
        <f>-SUMIF('Part VII-Pro Forma'!$A$13:$L$13,F$48,'Part VII-Pro Forma'!$A$21:$L$21)-SUMIF('Part VII-Pro Forma'!$A$43:$L$43,F$48,'Part VII-Pro Forma'!$A$51:$L$51)-SUMIF('Part VII-Pro Forma'!$A$73:$L$73,F$48,'Part VII-Pro Forma'!$A$81:$L$81)</f>
        <v>120327.30762938345</v>
      </c>
      <c r="G53" s="1013">
        <f>-SUMIF('Part VII-Pro Forma'!$A$13:$L$13,G$48,'Part VII-Pro Forma'!$A$21:$L$21)-SUMIF('Part VII-Pro Forma'!$A$43:$L$43,G$48,'Part VII-Pro Forma'!$A$51:$L$51)-SUMIF('Part VII-Pro Forma'!$A$73:$L$73,G$48,'Part VII-Pro Forma'!$A$81:$L$81)</f>
        <v>123937.12685826495</v>
      </c>
      <c r="H53" s="1013">
        <f>-SUMIF('Part VII-Pro Forma'!$A$13:$L$13,H$48,'Part VII-Pro Forma'!$A$21:$L$21)-SUMIF('Part VII-Pro Forma'!$A$43:$L$43,H$48,'Part VII-Pro Forma'!$A$51:$L$51)-SUMIF('Part VII-Pro Forma'!$A$73:$L$73,H$48,'Part VII-Pro Forma'!$A$81:$L$81)</f>
        <v>127655.2406640129</v>
      </c>
    </row>
    <row r="54" spans="1:10" ht="13.5" customHeight="1">
      <c r="A54" s="1011" t="s">
        <v>3844</v>
      </c>
      <c r="C54" s="1021">
        <f>-SUMIF('Part VII-Pro Forma'!$A$13:$L$13,C$48,'Part VII-Pro Forma'!$A$31:$L$31)-SUMIF('Part VII-Pro Forma'!$A$49:$L$49,C$48,'Part VII-Pro Forma'!$A$68:$L$68)-SUMIF('Part VII-Pro Forma'!$A$85:$L$85,C$48,'Part VII-Pro Forma'!$A$104:$L$104)</f>
        <v>0</v>
      </c>
      <c r="D54" s="1021">
        <f>-SUMIF('Part VII-Pro Forma'!$A$13:$L$13,D$48,'Part VII-Pro Forma'!$A$31:$L$31)-SUMIF('Part VII-Pro Forma'!$A$49:$L$49,D$48,'Part VII-Pro Forma'!$A$68:$L$68)-SUMIF('Part VII-Pro Forma'!$A$85:$L$85,D$48,'Part VII-Pro Forma'!$A$104:$L$104)</f>
        <v>0</v>
      </c>
      <c r="E54" s="1021">
        <f>-SUMIF('Part VII-Pro Forma'!$A$13:$L$13,E$48,'Part VII-Pro Forma'!$A$31:$L$31)-SUMIF('Part VII-Pro Forma'!$A$49:$L$49,E$48,'Part VII-Pro Forma'!$A$68:$L$68)-SUMIF('Part VII-Pro Forma'!$A$85:$L$85,E$48,'Part VII-Pro Forma'!$A$104:$L$104)</f>
        <v>0</v>
      </c>
      <c r="F54" s="1021">
        <f>-SUMIF('Part VII-Pro Forma'!$A$13:$L$13,F$48,'Part VII-Pro Forma'!$A$31:$L$31)-SUMIF('Part VII-Pro Forma'!$A$49:$L$49,F$48,'Part VII-Pro Forma'!$A$68:$L$68)-SUMIF('Part VII-Pro Forma'!$A$85:$L$85,F$48,'Part VII-Pro Forma'!$A$104:$L$104)</f>
        <v>0</v>
      </c>
      <c r="G54" s="1021">
        <f>-SUMIF('Part VII-Pro Forma'!$A$13:$L$13,G$48,'Part VII-Pro Forma'!$A$31:$L$31)-SUMIF('Part VII-Pro Forma'!$A$49:$L$49,G$48,'Part VII-Pro Forma'!$A$68:$L$68)-SUMIF('Part VII-Pro Forma'!$A$85:$L$85,G$48,'Part VII-Pro Forma'!$A$104:$L$104)</f>
        <v>0</v>
      </c>
      <c r="H54" s="1021">
        <f>-SUMIF('Part VII-Pro Forma'!$A$13:$L$13,H$48,'Part VII-Pro Forma'!$A$31:$L$31)-SUMIF('Part VII-Pro Forma'!$A$49:$L$49,H$48,'Part VII-Pro Forma'!$A$68:$L$68)-SUMIF('Part VII-Pro Forma'!$A$85:$L$85,H$48,'Part VII-Pro Forma'!$A$104:$L$104)</f>
        <v>0</v>
      </c>
    </row>
    <row r="55" spans="1:10" ht="13.5" customHeight="1">
      <c r="A55" s="1014" t="s">
        <v>3223</v>
      </c>
      <c r="C55" s="1015">
        <f t="shared" ref="C55:H55" si="14">$E$3/$H$3</f>
        <v>782005.94181818177</v>
      </c>
      <c r="D55" s="1015">
        <f t="shared" si="14"/>
        <v>782005.94181818177</v>
      </c>
      <c r="E55" s="1015">
        <f t="shared" si="14"/>
        <v>782005.94181818177</v>
      </c>
      <c r="F55" s="1015">
        <f t="shared" si="14"/>
        <v>782005.94181818177</v>
      </c>
      <c r="G55" s="1015">
        <f t="shared" si="14"/>
        <v>782005.94181818177</v>
      </c>
      <c r="H55" s="1015">
        <f t="shared" si="14"/>
        <v>782005.94181818177</v>
      </c>
    </row>
    <row r="56" spans="1:10" ht="13.5" customHeight="1">
      <c r="A56" s="1014" t="s">
        <v>3225</v>
      </c>
      <c r="C56" s="1007">
        <f t="shared" ref="C56:H56" ca="1" si="15">IF(C$48&lt;=$H$4,($E$4/$H$4),0)+IF(C$48&lt;=$H$5,($E$5/$H$5),0)</f>
        <v>28250.819638564637</v>
      </c>
      <c r="D56" s="1007">
        <f t="shared" si="15"/>
        <v>11799.4</v>
      </c>
      <c r="E56" s="1007">
        <f t="shared" si="15"/>
        <v>11799.4</v>
      </c>
      <c r="F56" s="1007">
        <f t="shared" si="15"/>
        <v>11799.4</v>
      </c>
      <c r="G56" s="1007">
        <f t="shared" si="15"/>
        <v>11799.4</v>
      </c>
      <c r="H56" s="1007">
        <f t="shared" si="15"/>
        <v>11799.4</v>
      </c>
    </row>
    <row r="57" spans="1:10" ht="13.5" customHeight="1">
      <c r="A57" s="1014" t="s">
        <v>3226</v>
      </c>
      <c r="C57" s="1007" t="e">
        <f t="shared" ref="C57:H57" ca="1" si="16">C49+C50+C51+C52+C53+C54-C55-C56</f>
        <v>#VALUE!</v>
      </c>
      <c r="D57" s="1007" t="e">
        <f t="shared" si="16"/>
        <v>#VALUE!</v>
      </c>
      <c r="E57" s="1007" t="e">
        <f t="shared" si="16"/>
        <v>#VALUE!</v>
      </c>
      <c r="F57" s="1007" t="e">
        <f t="shared" si="16"/>
        <v>#VALUE!</v>
      </c>
      <c r="G57" s="1007" t="e">
        <f t="shared" si="16"/>
        <v>#VALUE!</v>
      </c>
      <c r="H57" s="1007" t="e">
        <f t="shared" si="16"/>
        <v>#VALUE!</v>
      </c>
    </row>
    <row r="58" spans="1:10" ht="13.5" customHeight="1">
      <c r="A58" s="898" t="s">
        <v>3228</v>
      </c>
      <c r="C58" s="1015" t="e">
        <f t="shared" ref="C58:H58" ca="1" si="17">C57*$H$6</f>
        <v>#VALUE!</v>
      </c>
      <c r="D58" s="1015" t="e">
        <f t="shared" si="17"/>
        <v>#VALUE!</v>
      </c>
      <c r="E58" s="1015" t="e">
        <f t="shared" si="17"/>
        <v>#VALUE!</v>
      </c>
      <c r="F58" s="1015" t="e">
        <f t="shared" si="17"/>
        <v>#VALUE!</v>
      </c>
      <c r="G58" s="1015" t="e">
        <f t="shared" si="17"/>
        <v>#VALUE!</v>
      </c>
      <c r="H58" s="1015" t="e">
        <f t="shared" si="17"/>
        <v>#VALUE!</v>
      </c>
      <c r="J58" s="898" t="s">
        <v>254</v>
      </c>
    </row>
    <row r="59" spans="1:10" s="1022" customFormat="1" ht="16.5" customHeight="1">
      <c r="A59" s="898"/>
      <c r="B59" s="898"/>
      <c r="C59" s="1007"/>
      <c r="D59" s="1007"/>
      <c r="E59" s="1007"/>
      <c r="F59" s="1007"/>
      <c r="G59" s="1007"/>
      <c r="H59" s="1007"/>
      <c r="I59" s="898"/>
      <c r="J59" s="898"/>
    </row>
    <row r="60" spans="1:10">
      <c r="A60" s="898" t="s">
        <v>3230</v>
      </c>
      <c r="C60" s="1007" t="e">
        <f t="shared" ref="C60:H60" ca="1" si="18">C49-C58</f>
        <v>#VALUE!</v>
      </c>
      <c r="D60" s="1007" t="e">
        <f t="shared" si="18"/>
        <v>#VALUE!</v>
      </c>
      <c r="E60" s="1007" t="e">
        <f t="shared" si="18"/>
        <v>#VALUE!</v>
      </c>
      <c r="F60" s="1007" t="e">
        <f t="shared" si="18"/>
        <v>#VALUE!</v>
      </c>
      <c r="G60" s="1007" t="e">
        <f t="shared" si="18"/>
        <v>#VALUE!</v>
      </c>
      <c r="H60" s="1007" t="e">
        <f t="shared" si="18"/>
        <v>#VALUE!</v>
      </c>
    </row>
    <row r="61" spans="1:10">
      <c r="A61" s="898" t="s">
        <v>3231</v>
      </c>
      <c r="C61" s="1015">
        <v>0</v>
      </c>
      <c r="D61" s="1015">
        <v>0</v>
      </c>
      <c r="E61" s="1015">
        <v>0</v>
      </c>
      <c r="F61" s="1015">
        <v>0</v>
      </c>
      <c r="G61" s="1015">
        <v>0</v>
      </c>
      <c r="H61" s="1007">
        <v>0</v>
      </c>
    </row>
    <row r="62" spans="1:10">
      <c r="A62" s="898" t="s">
        <v>3232</v>
      </c>
      <c r="C62" s="1015">
        <v>0</v>
      </c>
      <c r="D62" s="1007">
        <v>0</v>
      </c>
      <c r="E62" s="1007">
        <v>0</v>
      </c>
      <c r="F62" s="1007">
        <v>0</v>
      </c>
      <c r="G62" s="1007">
        <v>0</v>
      </c>
      <c r="H62" s="1007">
        <v>0</v>
      </c>
    </row>
    <row r="63" spans="1:10">
      <c r="A63" s="898" t="s">
        <v>3234</v>
      </c>
      <c r="C63" s="1007">
        <v>0</v>
      </c>
      <c r="D63" s="1007">
        <v>0</v>
      </c>
      <c r="E63" s="1007">
        <v>0</v>
      </c>
      <c r="F63" s="1007">
        <v>0</v>
      </c>
      <c r="G63" s="1007">
        <v>0</v>
      </c>
      <c r="H63" s="1007" t="e">
        <f>O33</f>
        <v>#VALUE!</v>
      </c>
    </row>
    <row r="64" spans="1:10">
      <c r="A64" s="898" t="s">
        <v>3235</v>
      </c>
      <c r="C64" s="1007" t="e">
        <f t="shared" ref="C64:H64" ca="1" si="19">SUM(C60:C63)</f>
        <v>#VALUE!</v>
      </c>
      <c r="D64" s="1007" t="e">
        <f t="shared" si="19"/>
        <v>#VALUE!</v>
      </c>
      <c r="E64" s="1007" t="e">
        <f t="shared" si="19"/>
        <v>#VALUE!</v>
      </c>
      <c r="F64" s="1007" t="e">
        <f t="shared" si="19"/>
        <v>#VALUE!</v>
      </c>
      <c r="G64" s="1007" t="e">
        <f t="shared" si="19"/>
        <v>#VALUE!</v>
      </c>
      <c r="H64" s="1007" t="e">
        <f t="shared" si="19"/>
        <v>#VALUE!</v>
      </c>
    </row>
    <row r="66" spans="1:10" ht="15">
      <c r="A66" s="1023"/>
      <c r="B66" s="1024"/>
      <c r="C66" s="1024"/>
      <c r="D66" s="1024"/>
      <c r="E66" s="1024"/>
      <c r="F66" s="1025" t="s">
        <v>3241</v>
      </c>
      <c r="G66" s="2366" t="e">
        <f ca="1">IRR(K5:K25)</f>
        <v>#VALUE!</v>
      </c>
      <c r="H66" s="2367"/>
      <c r="I66" s="1022"/>
      <c r="J66" s="102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40" zoomScaleNormal="140" workbookViewId="0">
      <selection activeCell="Q4" sqref="Q4"/>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846" t="str">
        <f>CONCATENATE("PART ONE - PROJECT INFORMATION"," - ",$O$4," ",$F$24,", ",'Part I-Project Information'!F28,", ",'Part I-Project Information'!J29," County")</f>
        <v>PART ONE - PROJECT INFORMATION - 2016-524 Wheat Street Tower, Atlanta, Fulton County</v>
      </c>
      <c r="B1" s="1847"/>
      <c r="C1" s="1847"/>
      <c r="D1" s="1847"/>
      <c r="E1" s="1847"/>
      <c r="F1" s="1847"/>
      <c r="G1" s="1847"/>
      <c r="H1" s="1847"/>
      <c r="I1" s="1847"/>
      <c r="J1" s="1847"/>
      <c r="K1" s="1847"/>
      <c r="L1" s="1847"/>
      <c r="M1" s="1847"/>
      <c r="N1" s="1847"/>
      <c r="O1" s="1847"/>
      <c r="P1" s="1848"/>
    </row>
    <row r="2" spans="1:16" s="329" customFormat="1" ht="9" customHeight="1">
      <c r="A2" s="1174"/>
      <c r="B2" s="1174"/>
      <c r="C2" s="1174"/>
      <c r="D2" s="1174"/>
      <c r="E2" s="1174"/>
      <c r="F2" s="1174"/>
      <c r="G2" s="1174"/>
      <c r="H2" s="1174"/>
      <c r="I2" s="1174"/>
      <c r="J2" s="1174"/>
      <c r="K2" s="1174"/>
      <c r="L2" s="1174"/>
      <c r="M2" s="1174"/>
      <c r="N2" s="1174"/>
      <c r="O2" s="1174"/>
      <c r="P2" s="1174"/>
    </row>
    <row r="3" spans="1:16" s="329" customFormat="1" ht="12" customHeight="1" thickBot="1">
      <c r="B3" s="296" t="s">
        <v>2447</v>
      </c>
      <c r="F3" s="330"/>
      <c r="G3" s="298" t="s">
        <v>458</v>
      </c>
      <c r="L3" s="1174"/>
      <c r="O3" s="1860" t="s">
        <v>2779</v>
      </c>
      <c r="P3" s="1860"/>
    </row>
    <row r="4" spans="1:16" s="329" customFormat="1" ht="12" customHeight="1" thickBot="1">
      <c r="A4" s="545"/>
      <c r="B4" s="331"/>
      <c r="F4" s="332"/>
      <c r="G4" s="298" t="s">
        <v>459</v>
      </c>
      <c r="H4" s="1790"/>
      <c r="I4" s="1790"/>
      <c r="J4" s="1790"/>
      <c r="O4" s="2464" t="s">
        <v>4411</v>
      </c>
      <c r="P4" s="2465"/>
    </row>
    <row r="5" spans="1:16" s="329" customFormat="1" ht="12" customHeight="1" thickBot="1">
      <c r="A5" s="545"/>
      <c r="B5" s="1857" t="s">
        <v>4221</v>
      </c>
      <c r="C5" s="1858"/>
      <c r="D5" s="1859"/>
      <c r="F5" s="612"/>
      <c r="G5" s="188" t="s">
        <v>3503</v>
      </c>
      <c r="H5" s="1790"/>
      <c r="I5" s="1790"/>
      <c r="J5" s="1790"/>
    </row>
    <row r="6" spans="1:16" s="329" customFormat="1" ht="9" customHeight="1">
      <c r="A6" s="545"/>
      <c r="B6" s="331"/>
      <c r="C6" s="331"/>
      <c r="D6" s="331"/>
      <c r="E6" s="1790"/>
      <c r="H6" s="1790"/>
      <c r="I6" s="1790"/>
      <c r="J6" s="1790"/>
      <c r="K6" s="296"/>
      <c r="M6" s="1790"/>
    </row>
    <row r="7" spans="1:16" s="329" customFormat="1" ht="13.15" customHeight="1">
      <c r="A7" s="331" t="s">
        <v>640</v>
      </c>
      <c r="B7" s="331" t="s">
        <v>2460</v>
      </c>
      <c r="D7" s="299"/>
      <c r="E7" s="333"/>
      <c r="F7" s="334" t="s">
        <v>1781</v>
      </c>
      <c r="J7" s="1851">
        <f ca="1">'Part IV-Uses of Funds'!$J$174</f>
        <v>885891.18223086908</v>
      </c>
      <c r="K7" s="1852"/>
      <c r="M7" s="1790"/>
    </row>
    <row r="8" spans="1:16" s="1" customFormat="1" ht="13.15" customHeight="1">
      <c r="A8" s="4"/>
      <c r="B8" s="4"/>
      <c r="D8" s="28"/>
      <c r="E8" s="413"/>
      <c r="F8" s="329" t="s">
        <v>1333</v>
      </c>
      <c r="J8" s="1853">
        <f>'Part III-Sources of Funds'!$E$10</f>
        <v>0</v>
      </c>
      <c r="K8" s="1854"/>
      <c r="L8" s="329"/>
      <c r="M8" s="1790"/>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466" t="s">
        <v>4247</v>
      </c>
      <c r="G10" s="2467"/>
      <c r="H10" s="2468"/>
      <c r="I10" s="2469" t="s">
        <v>4205</v>
      </c>
      <c r="J10" s="582" t="s">
        <v>4206</v>
      </c>
      <c r="K10" s="340"/>
      <c r="L10" s="1790"/>
      <c r="O10" s="2470" t="s">
        <v>2797</v>
      </c>
      <c r="P10" s="2471"/>
    </row>
    <row r="11" spans="1:16" s="329" customFormat="1" ht="12.75" customHeight="1">
      <c r="A11" s="545"/>
      <c r="H11" s="1790"/>
      <c r="J11" s="583" t="s">
        <v>2846</v>
      </c>
      <c r="K11" s="296"/>
      <c r="M11" s="1790"/>
      <c r="O11" s="2472" t="s">
        <v>1837</v>
      </c>
      <c r="P11" s="2473"/>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4"/>
    </row>
    <row r="15" spans="1:16" s="329" customFormat="1" ht="13.15" customHeight="1">
      <c r="B15" s="329" t="s">
        <v>2381</v>
      </c>
      <c r="F15" s="2474" t="s">
        <v>4248</v>
      </c>
      <c r="G15" s="2475"/>
      <c r="H15" s="2475"/>
      <c r="I15" s="2475"/>
      <c r="J15" s="2475"/>
      <c r="K15" s="2475"/>
      <c r="L15" s="2476"/>
      <c r="M15" s="1783" t="s">
        <v>2055</v>
      </c>
      <c r="N15" s="2474" t="s">
        <v>4249</v>
      </c>
      <c r="O15" s="2475"/>
      <c r="P15" s="2476"/>
    </row>
    <row r="16" spans="1:16" s="329" customFormat="1" ht="13.15" customHeight="1">
      <c r="B16" s="334" t="s">
        <v>2056</v>
      </c>
      <c r="F16" s="2474" t="s">
        <v>4250</v>
      </c>
      <c r="G16" s="2475"/>
      <c r="H16" s="2475"/>
      <c r="I16" s="2475"/>
      <c r="J16" s="2475"/>
      <c r="K16" s="2475"/>
      <c r="L16" s="2476"/>
      <c r="M16" s="1783" t="s">
        <v>1787</v>
      </c>
      <c r="O16" s="2477">
        <v>6785145906</v>
      </c>
      <c r="P16" s="2478"/>
    </row>
    <row r="17" spans="1:16" s="329" customFormat="1" ht="13.15" customHeight="1">
      <c r="B17" s="334" t="s">
        <v>642</v>
      </c>
      <c r="F17" s="2479" t="s">
        <v>1251</v>
      </c>
      <c r="G17" s="2480"/>
      <c r="H17" s="2481"/>
      <c r="M17" s="1783" t="s">
        <v>1868</v>
      </c>
      <c r="O17" s="2482">
        <v>6785145919</v>
      </c>
      <c r="P17" s="2483"/>
    </row>
    <row r="18" spans="1:16" s="329" customFormat="1" ht="13.15" customHeight="1">
      <c r="B18" s="334" t="s">
        <v>1865</v>
      </c>
      <c r="F18" s="2484" t="s">
        <v>880</v>
      </c>
      <c r="I18" s="1790" t="s">
        <v>2308</v>
      </c>
      <c r="J18" s="2485">
        <v>303282589</v>
      </c>
      <c r="K18" s="2486"/>
      <c r="M18" s="1783" t="s">
        <v>2054</v>
      </c>
      <c r="O18" s="2482">
        <v>4043160631</v>
      </c>
      <c r="P18" s="2483"/>
    </row>
    <row r="19" spans="1:16" s="329" customFormat="1" ht="13.15" customHeight="1">
      <c r="B19" s="334" t="s">
        <v>1786</v>
      </c>
      <c r="F19" s="2482">
        <v>6785145900</v>
      </c>
      <c r="G19" s="2487"/>
      <c r="H19" s="2483"/>
      <c r="I19" s="1784" t="s">
        <v>1785</v>
      </c>
      <c r="J19" s="2488"/>
      <c r="K19" s="1790" t="s">
        <v>2059</v>
      </c>
      <c r="L19" s="2474" t="s">
        <v>4251</v>
      </c>
      <c r="M19" s="2475"/>
      <c r="N19" s="2475"/>
      <c r="O19" s="2475"/>
      <c r="P19" s="2476"/>
    </row>
    <row r="20" spans="1:16" s="329" customFormat="1" ht="13.15" customHeight="1">
      <c r="A20" s="331"/>
      <c r="B20" s="322" t="s">
        <v>679</v>
      </c>
      <c r="D20" s="333"/>
      <c r="G20" s="333"/>
      <c r="H20" s="333"/>
      <c r="I20" s="337"/>
    </row>
    <row r="21" spans="1:16" s="329" customFormat="1" ht="4.5" customHeight="1">
      <c r="A21" s="545"/>
      <c r="B21" s="545"/>
      <c r="C21" s="338"/>
      <c r="D21" s="1793"/>
      <c r="E21" s="1793"/>
      <c r="F21" s="1793"/>
      <c r="H21" s="1790"/>
      <c r="I21" s="1793"/>
      <c r="J21" s="338"/>
      <c r="K21" s="1793"/>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489" t="s">
        <v>4252</v>
      </c>
      <c r="G24" s="2490"/>
      <c r="H24" s="2490"/>
      <c r="I24" s="2490"/>
      <c r="J24" s="2490"/>
      <c r="K24" s="2491"/>
      <c r="L24" s="1783" t="s">
        <v>2271</v>
      </c>
      <c r="O24" s="2474" t="s">
        <v>3157</v>
      </c>
      <c r="P24" s="2476"/>
    </row>
    <row r="25" spans="1:16" s="329" customFormat="1" ht="13.15" customHeight="1">
      <c r="A25" s="341"/>
      <c r="B25" s="329" t="s">
        <v>2803</v>
      </c>
      <c r="D25" s="342"/>
      <c r="F25" s="2492" t="s">
        <v>4253</v>
      </c>
      <c r="G25" s="2493"/>
      <c r="H25" s="2493"/>
      <c r="I25" s="2493"/>
      <c r="J25" s="2493"/>
      <c r="K25" s="2494"/>
      <c r="L25" s="329" t="s">
        <v>4134</v>
      </c>
      <c r="O25" s="2492"/>
      <c r="P25" s="2494"/>
    </row>
    <row r="26" spans="1:16" s="329" customFormat="1" ht="13.15" customHeight="1">
      <c r="A26" s="341"/>
      <c r="B26" s="329" t="s">
        <v>2849</v>
      </c>
      <c r="D26" s="342"/>
      <c r="F26" s="2492"/>
      <c r="G26" s="2493"/>
      <c r="H26" s="2493"/>
      <c r="I26" s="2493"/>
      <c r="J26" s="2493"/>
      <c r="K26" s="2494"/>
      <c r="L26" s="1783" t="s">
        <v>2128</v>
      </c>
      <c r="N26" s="2495" t="s">
        <v>3157</v>
      </c>
      <c r="O26" s="1790" t="s">
        <v>4133</v>
      </c>
      <c r="P26" s="2495">
        <v>1</v>
      </c>
    </row>
    <row r="27" spans="1:16" s="329" customFormat="1" ht="13.15" customHeight="1">
      <c r="A27" s="341"/>
      <c r="B27" s="329" t="s">
        <v>2899</v>
      </c>
      <c r="D27" s="342"/>
      <c r="F27" s="329" t="s">
        <v>4215</v>
      </c>
      <c r="G27" s="2496" t="s">
        <v>4324</v>
      </c>
      <c r="H27" s="2497"/>
      <c r="I27" s="1784" t="s">
        <v>4216</v>
      </c>
      <c r="J27" s="2496" t="s">
        <v>4325</v>
      </c>
      <c r="K27" s="2497"/>
      <c r="L27" s="1783" t="s">
        <v>2363</v>
      </c>
      <c r="O27" s="2498">
        <v>1.1796</v>
      </c>
      <c r="P27" s="2499"/>
    </row>
    <row r="28" spans="1:16" s="329" customFormat="1" ht="13.15" customHeight="1">
      <c r="A28" s="545"/>
      <c r="B28" s="329" t="s">
        <v>642</v>
      </c>
      <c r="F28" s="2474" t="s">
        <v>1251</v>
      </c>
      <c r="G28" s="2475"/>
      <c r="H28" s="2476"/>
      <c r="I28" s="346" t="s">
        <v>2804</v>
      </c>
      <c r="J28" s="2485">
        <v>303121517</v>
      </c>
      <c r="K28" s="2486"/>
      <c r="L28" s="405" t="str">
        <f>IF(AND(NOT(F24=""),NOT(F28="Select from list"),J28=""),"Enter Zip!","")</f>
        <v/>
      </c>
      <c r="M28" s="344" t="s">
        <v>3062</v>
      </c>
      <c r="O28" s="2500" t="s">
        <v>4255</v>
      </c>
      <c r="P28" s="2501"/>
    </row>
    <row r="29" spans="1:16" s="329" customFormat="1" ht="13.15" customHeight="1">
      <c r="A29" s="545"/>
      <c r="B29" s="1793" t="s">
        <v>3855</v>
      </c>
      <c r="D29" s="1793"/>
      <c r="F29" s="2492" t="s">
        <v>4254</v>
      </c>
      <c r="G29" s="2493"/>
      <c r="H29" s="2494"/>
      <c r="I29" s="343" t="s">
        <v>643</v>
      </c>
      <c r="J29" s="2502" t="str">
        <f>IF($F$28="","",VLOOKUP($F$28,'DCA Underwriting Assumptions'!$R$141:$S$771,2,FALSE))</f>
        <v>Fulton</v>
      </c>
      <c r="K29" s="2503"/>
      <c r="M29" s="1783" t="s">
        <v>468</v>
      </c>
      <c r="N29" s="2504" t="s">
        <v>3154</v>
      </c>
      <c r="O29" s="1790" t="s">
        <v>469</v>
      </c>
      <c r="P29" s="2504"/>
    </row>
    <row r="30" spans="1:16" s="329" customFormat="1" ht="13.15" customHeight="1">
      <c r="A30" s="545"/>
      <c r="B30" s="331"/>
      <c r="C30" s="329" t="s">
        <v>1615</v>
      </c>
      <c r="F30" s="2505" t="s">
        <v>3157</v>
      </c>
      <c r="G30" s="1855" t="s">
        <v>2900</v>
      </c>
      <c r="H30" s="1856"/>
      <c r="I30" s="590" t="str">
        <f>IF($J$29="","",IF(VLOOKUP($J$29,'DCA Underwriting Assumptions'!G141:M300,7,FALSE)="Rural","Yes",IF(VLOOKUP($J$29,'DCA Underwriting Assumptions'!G141:M300,7,FALSE)="Urban","No","")))</f>
        <v>No</v>
      </c>
      <c r="J30" s="1784" t="s">
        <v>2921</v>
      </c>
      <c r="K30" s="1784" t="str">
        <f>IF(OR(F30="Yes",I30="Yes"),"Rural","Urban")</f>
        <v>Urban</v>
      </c>
      <c r="M30" s="1783" t="s">
        <v>2699</v>
      </c>
      <c r="N30" s="473" t="str">
        <f>VLOOKUP($J$29,'DCA Underwriting Assumptions'!$G$141:$J$300,4)</f>
        <v>MSA</v>
      </c>
      <c r="O30" s="2506" t="str">
        <f>IF($F$28="","",VLOOKUP($J$29,'DCA Underwriting Assumptions'!$G$141:$L$300,3,FALSE))</f>
        <v>Atlanta-Sandy Springs-Marietta</v>
      </c>
      <c r="P30" s="2507"/>
    </row>
    <row r="31" spans="1:16" s="329" customFormat="1" ht="3" customHeight="1">
      <c r="A31" s="545"/>
      <c r="B31" s="331"/>
      <c r="C31" s="331"/>
      <c r="I31" s="334"/>
      <c r="J31" s="1793"/>
      <c r="L31" s="1800"/>
      <c r="M31" s="1800"/>
      <c r="N31" s="1800"/>
      <c r="O31" s="1800"/>
      <c r="P31" s="1800"/>
    </row>
    <row r="32" spans="1:16" s="329" customFormat="1" ht="13.15" customHeight="1">
      <c r="A32" s="545"/>
      <c r="C32" s="329" t="s">
        <v>2859</v>
      </c>
      <c r="F32" s="1850" t="s">
        <v>2879</v>
      </c>
      <c r="G32" s="1850"/>
      <c r="H32" s="1849" t="s">
        <v>766</v>
      </c>
      <c r="I32" s="1849"/>
      <c r="J32" s="1849" t="s">
        <v>767</v>
      </c>
      <c r="K32" s="1849"/>
      <c r="L32" s="576" t="s">
        <v>2805</v>
      </c>
    </row>
    <row r="33" spans="1:17" s="329" customFormat="1" ht="13.15" customHeight="1">
      <c r="A33" s="545"/>
      <c r="B33" s="329" t="s">
        <v>2878</v>
      </c>
      <c r="D33" s="331"/>
      <c r="F33" s="2508">
        <v>5</v>
      </c>
      <c r="G33" s="2509"/>
      <c r="H33" s="2508">
        <v>36</v>
      </c>
      <c r="I33" s="2509"/>
      <c r="J33" s="2508">
        <v>58</v>
      </c>
      <c r="K33" s="2509"/>
      <c r="L33" s="572" t="s">
        <v>1330</v>
      </c>
      <c r="N33" s="1840" t="s">
        <v>1331</v>
      </c>
      <c r="O33" s="1840"/>
      <c r="P33" s="1840"/>
    </row>
    <row r="34" spans="1:17" s="329" customFormat="1" ht="12.75" customHeight="1">
      <c r="A34" s="545"/>
      <c r="B34" s="334" t="s">
        <v>768</v>
      </c>
      <c r="F34" s="2508"/>
      <c r="G34" s="2509"/>
      <c r="H34" s="2508"/>
      <c r="I34" s="2509"/>
      <c r="J34" s="2508"/>
      <c r="K34" s="2509"/>
      <c r="L34" s="572" t="s">
        <v>2877</v>
      </c>
      <c r="N34" s="1841" t="s">
        <v>2876</v>
      </c>
      <c r="O34" s="1841"/>
    </row>
    <row r="35" spans="1:17" s="329" customFormat="1" ht="3" customHeight="1">
      <c r="A35" s="545"/>
      <c r="I35" s="1800"/>
      <c r="J35" s="1800"/>
      <c r="K35" s="1800"/>
      <c r="L35" s="1793"/>
      <c r="M35" s="1793"/>
      <c r="N35" s="1793"/>
      <c r="O35" s="1793"/>
      <c r="P35" s="1793"/>
    </row>
    <row r="36" spans="1:17" s="329" customFormat="1" ht="13.15" customHeight="1">
      <c r="A36" s="545"/>
      <c r="B36" s="331" t="s">
        <v>661</v>
      </c>
      <c r="F36" s="2510" t="s">
        <v>4101</v>
      </c>
      <c r="G36" s="2511"/>
      <c r="H36" s="2511"/>
      <c r="I36" s="2511"/>
      <c r="J36" s="2512"/>
      <c r="K36" s="2513"/>
      <c r="L36" s="1170" t="s">
        <v>2809</v>
      </c>
      <c r="M36" s="2492" t="s">
        <v>4327</v>
      </c>
      <c r="N36" s="2493"/>
      <c r="O36" s="2493"/>
      <c r="P36" s="2494"/>
    </row>
    <row r="37" spans="1:17" s="329" customFormat="1" ht="13.15" customHeight="1">
      <c r="A37" s="545"/>
      <c r="B37" s="329" t="s">
        <v>662</v>
      </c>
      <c r="F37" s="2514" t="s">
        <v>4256</v>
      </c>
      <c r="G37" s="2515"/>
      <c r="H37" s="2516"/>
      <c r="I37" s="1785" t="s">
        <v>2055</v>
      </c>
      <c r="J37" s="2492" t="s">
        <v>4257</v>
      </c>
      <c r="K37" s="2494"/>
      <c r="L37" s="1170"/>
    </row>
    <row r="38" spans="1:17" s="329" customFormat="1" ht="13.15" customHeight="1">
      <c r="A38" s="545"/>
      <c r="B38" s="329" t="s">
        <v>2056</v>
      </c>
      <c r="F38" s="2514" t="s">
        <v>4326</v>
      </c>
      <c r="G38" s="2515"/>
      <c r="H38" s="2515"/>
      <c r="I38" s="2515"/>
      <c r="J38" s="2517"/>
      <c r="K38" s="2518"/>
      <c r="L38" s="365" t="s">
        <v>642</v>
      </c>
      <c r="M38" s="2514" t="s">
        <v>1251</v>
      </c>
      <c r="N38" s="2515"/>
      <c r="O38" s="2515"/>
      <c r="P38" s="2516"/>
    </row>
    <row r="39" spans="1:17" s="329" customFormat="1" ht="13.15" customHeight="1">
      <c r="A39" s="545"/>
      <c r="B39" s="1783" t="s">
        <v>2308</v>
      </c>
      <c r="F39" s="2519">
        <v>303033520</v>
      </c>
      <c r="G39" s="2520"/>
      <c r="H39" s="1784" t="s">
        <v>2057</v>
      </c>
      <c r="I39" s="2521">
        <v>4043306004</v>
      </c>
      <c r="J39" s="2522"/>
      <c r="K39" s="2523"/>
      <c r="L39" s="334" t="s">
        <v>1866</v>
      </c>
      <c r="M39" s="2514" t="s">
        <v>4328</v>
      </c>
      <c r="N39" s="2515"/>
      <c r="O39" s="2515"/>
      <c r="P39" s="2516"/>
    </row>
    <row r="40" spans="1:17" s="329" customFormat="1" ht="4.5" customHeight="1">
      <c r="A40" s="545"/>
      <c r="B40" s="545"/>
      <c r="C40" s="345"/>
      <c r="D40" s="346"/>
      <c r="E40" s="346"/>
      <c r="F40" s="1790"/>
      <c r="G40" s="1790"/>
      <c r="H40" s="1790"/>
      <c r="I40" s="1790"/>
      <c r="J40" s="346"/>
      <c r="K40" s="1790"/>
      <c r="L40" s="1790"/>
      <c r="N40" s="1793"/>
      <c r="O40" s="1793"/>
      <c r="P40" s="339"/>
    </row>
    <row r="41" spans="1:17" s="329" customFormat="1" ht="12" customHeight="1">
      <c r="A41" s="335" t="s">
        <v>1860</v>
      </c>
      <c r="B41" s="331" t="s">
        <v>1531</v>
      </c>
      <c r="F41" s="347"/>
      <c r="I41" s="1783"/>
      <c r="J41" s="1793"/>
      <c r="K41" s="1793"/>
      <c r="L41" s="1793"/>
      <c r="M41" s="1793"/>
    </row>
    <row r="42" spans="1:17" s="329" customFormat="1" ht="1.5" customHeight="1">
      <c r="A42" s="545"/>
      <c r="B42" s="331"/>
      <c r="C42" s="331"/>
      <c r="I42" s="1783"/>
      <c r="J42" s="1793"/>
      <c r="K42" s="1793"/>
      <c r="L42" s="1793"/>
      <c r="M42" s="1793"/>
      <c r="N42" s="1793"/>
      <c r="O42" s="1793"/>
      <c r="P42" s="1793"/>
      <c r="Q42" s="1793"/>
    </row>
    <row r="43" spans="1:17" s="329" customFormat="1" ht="12.75">
      <c r="A43" s="545"/>
      <c r="B43" s="545" t="s">
        <v>2058</v>
      </c>
      <c r="C43" s="331" t="s">
        <v>747</v>
      </c>
      <c r="I43" s="1793"/>
      <c r="J43" s="1793"/>
      <c r="K43" s="573"/>
      <c r="L43" s="1793"/>
      <c r="M43" s="575"/>
      <c r="N43" s="575"/>
      <c r="O43" s="575"/>
      <c r="P43" s="575"/>
      <c r="Q43" s="1790"/>
    </row>
    <row r="44" spans="1:17" ht="13.15" customHeight="1">
      <c r="B44" s="545"/>
      <c r="C44" s="329" t="s">
        <v>2375</v>
      </c>
      <c r="D44" s="329"/>
      <c r="E44" s="329"/>
      <c r="H44" s="349">
        <f>'Part VI-Revenues &amp; Expenses'!$O$74</f>
        <v>0</v>
      </c>
      <c r="K44" s="334" t="s">
        <v>4116</v>
      </c>
      <c r="L44" s="329"/>
      <c r="M44" s="1323" t="s">
        <v>4115</v>
      </c>
      <c r="N44" s="349">
        <f>'Part VI-Revenues &amp; Expenses'!$O$81</f>
        <v>0</v>
      </c>
      <c r="O44" s="1324" t="s">
        <v>3545</v>
      </c>
      <c r="P44" s="349">
        <f>'Part VI-Revenues &amp; Expenses'!$O$82</f>
        <v>0</v>
      </c>
      <c r="Q44" s="1790"/>
    </row>
    <row r="45" spans="1:17" s="329" customFormat="1" ht="12.75">
      <c r="A45" s="545"/>
      <c r="B45" s="545"/>
      <c r="C45" s="350" t="s">
        <v>360</v>
      </c>
      <c r="H45" s="349">
        <f>'Part VI-Revenues &amp; Expenses'!$O$80</f>
        <v>0</v>
      </c>
      <c r="K45" s="350" t="s">
        <v>380</v>
      </c>
      <c r="P45" s="349">
        <f>'Part VI-Revenues &amp; Expenses'!$O$84</f>
        <v>0</v>
      </c>
    </row>
    <row r="46" spans="1:17" s="329" customFormat="1" ht="13.15" customHeight="1">
      <c r="B46" s="545"/>
      <c r="C46" s="334" t="s">
        <v>359</v>
      </c>
      <c r="D46" s="1793"/>
      <c r="H46" s="349">
        <f>'Part VI-Revenues &amp; Expenses'!$O$77</f>
        <v>208</v>
      </c>
      <c r="I46" s="547" t="s">
        <v>3068</v>
      </c>
      <c r="K46" s="329" t="s">
        <v>361</v>
      </c>
      <c r="P46" s="2524">
        <v>26299</v>
      </c>
      <c r="Q46" s="1790"/>
    </row>
    <row r="47" spans="1:17" s="329" customFormat="1" ht="3.6" customHeight="1">
      <c r="A47" s="545"/>
      <c r="P47" s="1793"/>
    </row>
    <row r="48" spans="1:17" s="329" customFormat="1" ht="12.75">
      <c r="A48" s="545"/>
      <c r="B48" s="545" t="s">
        <v>2061</v>
      </c>
      <c r="C48" s="331" t="s">
        <v>2376</v>
      </c>
      <c r="H48" s="2488" t="s">
        <v>3157</v>
      </c>
      <c r="K48" s="1793"/>
      <c r="L48" s="1793"/>
      <c r="M48" s="1793"/>
      <c r="N48" s="1793"/>
      <c r="O48" s="575"/>
      <c r="P48" s="573"/>
      <c r="Q48" s="1793"/>
    </row>
    <row r="49" spans="1:19" s="329" customFormat="1" ht="3" customHeight="1">
      <c r="A49" s="545"/>
      <c r="I49" s="1793"/>
      <c r="J49" s="573"/>
      <c r="K49" s="574"/>
      <c r="L49" s="573"/>
      <c r="M49" s="574"/>
      <c r="N49" s="574"/>
      <c r="O49" s="574"/>
      <c r="P49" s="574"/>
      <c r="Q49" s="1793"/>
    </row>
    <row r="50" spans="1:19" s="329" customFormat="1" ht="13.15" customHeight="1">
      <c r="A50" s="545"/>
      <c r="B50" s="341" t="s">
        <v>779</v>
      </c>
      <c r="C50" s="340" t="s">
        <v>2356</v>
      </c>
      <c r="D50" s="1793"/>
      <c r="I50" s="1798" t="s">
        <v>3850</v>
      </c>
      <c r="J50" s="341" t="s">
        <v>2193</v>
      </c>
      <c r="K50" s="351" t="s">
        <v>2382</v>
      </c>
      <c r="M50" s="1793"/>
      <c r="N50" s="1793"/>
      <c r="O50" s="1793"/>
      <c r="P50" s="1790"/>
      <c r="Q50" s="1790"/>
      <c r="R50" s="1790"/>
      <c r="S50" s="1793"/>
    </row>
    <row r="51" spans="1:19" s="329" customFormat="1" ht="13.15" customHeight="1">
      <c r="A51" s="545"/>
      <c r="B51" s="1782"/>
      <c r="C51" s="338" t="s">
        <v>2357</v>
      </c>
      <c r="D51" s="1793"/>
      <c r="E51" s="1793"/>
      <c r="H51" s="871">
        <f>SUM(H52:H53)</f>
        <v>208</v>
      </c>
      <c r="I51" s="871">
        <f>SUM(I52:I53)</f>
        <v>208</v>
      </c>
      <c r="J51" s="545"/>
      <c r="K51" s="338" t="s">
        <v>2891</v>
      </c>
      <c r="M51" s="1793"/>
      <c r="N51" s="1793"/>
      <c r="O51" s="1793"/>
      <c r="P51" s="1130">
        <f>'Part VI-Revenues &amp; Expenses'!$O$115</f>
        <v>111354</v>
      </c>
    </row>
    <row r="52" spans="1:19" s="329" customFormat="1" ht="13.15" customHeight="1">
      <c r="A52" s="545"/>
      <c r="B52" s="348"/>
      <c r="D52" s="353" t="s">
        <v>399</v>
      </c>
      <c r="E52" s="1793"/>
      <c r="H52" s="1130">
        <f>'Part VI-Revenues &amp; Expenses'!$O$57</f>
        <v>0</v>
      </c>
      <c r="I52" s="1130">
        <f>'Part VI-Revenues &amp; Expenses'!$O$65</f>
        <v>0</v>
      </c>
      <c r="K52" s="338" t="s">
        <v>2892</v>
      </c>
      <c r="M52" s="1793"/>
      <c r="N52" s="1793"/>
      <c r="O52" s="1793"/>
      <c r="P52" s="1130">
        <f>'Part VI-Revenues &amp; Expenses'!$O$116</f>
        <v>0</v>
      </c>
    </row>
    <row r="53" spans="1:19" s="329" customFormat="1" ht="13.15" customHeight="1">
      <c r="A53" s="545"/>
      <c r="D53" s="353" t="s">
        <v>1890</v>
      </c>
      <c r="E53" s="353"/>
      <c r="H53" s="1131">
        <f>'Part VI-Revenues &amp; Expenses'!$O$56</f>
        <v>208</v>
      </c>
      <c r="I53" s="1131">
        <f>'Part VI-Revenues &amp; Expenses'!$O$64</f>
        <v>208</v>
      </c>
      <c r="K53" s="338" t="s">
        <v>2893</v>
      </c>
      <c r="M53" s="1793"/>
      <c r="N53" s="1793"/>
      <c r="O53" s="1793"/>
      <c r="P53" s="352">
        <f>P51+P52</f>
        <v>111354</v>
      </c>
    </row>
    <row r="54" spans="1:19" s="329" customFormat="1" ht="13.15" customHeight="1">
      <c r="A54" s="545"/>
      <c r="C54" s="338" t="s">
        <v>264</v>
      </c>
      <c r="D54" s="1793"/>
      <c r="E54" s="1793"/>
      <c r="H54" s="352">
        <f>'Part VI-Revenues &amp; Expenses'!$O$59</f>
        <v>0</v>
      </c>
      <c r="J54" s="545"/>
      <c r="K54" s="338" t="s">
        <v>2894</v>
      </c>
      <c r="M54" s="1793"/>
      <c r="N54" s="1793"/>
      <c r="O54" s="1793"/>
      <c r="P54" s="352">
        <f>'Part VI-Revenues &amp; Expenses'!$O$118</f>
        <v>0</v>
      </c>
    </row>
    <row r="55" spans="1:19" s="329" customFormat="1" ht="13.15" customHeight="1">
      <c r="A55" s="545"/>
      <c r="C55" s="338" t="s">
        <v>2492</v>
      </c>
      <c r="D55" s="1793"/>
      <c r="E55" s="1793"/>
      <c r="H55" s="352">
        <f>H51+H54</f>
        <v>208</v>
      </c>
      <c r="J55" s="545"/>
      <c r="K55" s="338" t="s">
        <v>1474</v>
      </c>
      <c r="M55" s="1793"/>
      <c r="N55" s="1793"/>
      <c r="O55" s="1793"/>
      <c r="P55" s="352">
        <f>+P53+P54</f>
        <v>111354</v>
      </c>
    </row>
    <row r="56" spans="1:19" s="329" customFormat="1" ht="13.15" customHeight="1">
      <c r="A56" s="545"/>
      <c r="C56" s="338" t="s">
        <v>2493</v>
      </c>
      <c r="D56" s="1793"/>
      <c r="E56" s="1793"/>
      <c r="H56" s="352">
        <f>'Part VI-Revenues &amp; Expenses'!$O$61</f>
        <v>0</v>
      </c>
      <c r="J56" s="545"/>
    </row>
    <row r="57" spans="1:19" s="329" customFormat="1" ht="13.15" customHeight="1">
      <c r="A57" s="545"/>
      <c r="C57" s="338" t="s">
        <v>1859</v>
      </c>
      <c r="D57" s="1793"/>
      <c r="E57" s="1793"/>
      <c r="H57" s="352">
        <f>+H55+H56</f>
        <v>208</v>
      </c>
      <c r="J57" s="1793"/>
    </row>
    <row r="58" spans="1:19" s="329" customFormat="1" ht="3" customHeight="1">
      <c r="A58" s="545"/>
      <c r="I58" s="1790"/>
      <c r="L58" s="1790"/>
      <c r="M58" s="1790"/>
      <c r="N58" s="1793"/>
      <c r="P58" s="339"/>
    </row>
    <row r="59" spans="1:19" s="329" customFormat="1" ht="13.15" customHeight="1">
      <c r="A59" s="545"/>
      <c r="B59" s="545" t="s">
        <v>1801</v>
      </c>
      <c r="C59" s="340" t="s">
        <v>2377</v>
      </c>
      <c r="D59" s="353" t="s">
        <v>2072</v>
      </c>
      <c r="G59" s="1793"/>
      <c r="H59" s="2525">
        <v>1</v>
      </c>
      <c r="K59" s="338" t="s">
        <v>1165</v>
      </c>
      <c r="O59" s="1793"/>
      <c r="P59" s="2525">
        <v>37052</v>
      </c>
    </row>
    <row r="60" spans="1:19" s="329" customFormat="1" ht="13.15" customHeight="1">
      <c r="A60" s="545"/>
      <c r="B60" s="545"/>
      <c r="D60" s="1782" t="s">
        <v>2073</v>
      </c>
      <c r="H60" s="2525">
        <v>0</v>
      </c>
      <c r="I60" s="1793"/>
      <c r="K60" s="338" t="s">
        <v>263</v>
      </c>
      <c r="O60" s="1793"/>
      <c r="P60" s="352">
        <f>+P55+P59</f>
        <v>148406</v>
      </c>
    </row>
    <row r="61" spans="1:19" s="329" customFormat="1" ht="13.15" customHeight="1">
      <c r="A61" s="545"/>
      <c r="B61" s="545"/>
      <c r="D61" s="1782" t="s">
        <v>2074</v>
      </c>
      <c r="H61" s="352">
        <f>+H59+H60</f>
        <v>1</v>
      </c>
      <c r="I61" s="1793"/>
    </row>
    <row r="62" spans="1:19" s="329" customFormat="1" ht="3" customHeight="1">
      <c r="A62" s="545"/>
      <c r="B62" s="545"/>
      <c r="C62" s="1793"/>
      <c r="D62" s="1793"/>
      <c r="E62" s="1793"/>
      <c r="F62" s="1793"/>
      <c r="G62" s="1790"/>
      <c r="I62" s="338"/>
      <c r="J62" s="1793"/>
      <c r="P62" s="339"/>
    </row>
    <row r="63" spans="1:19" s="329" customFormat="1" ht="13.15" customHeight="1">
      <c r="A63" s="545"/>
      <c r="B63" s="545" t="s">
        <v>1802</v>
      </c>
      <c r="C63" s="340" t="s">
        <v>2981</v>
      </c>
      <c r="D63" s="1793"/>
      <c r="E63" s="1793"/>
      <c r="F63" s="1793"/>
      <c r="G63" s="1793"/>
      <c r="H63" s="2525">
        <v>23</v>
      </c>
      <c r="K63" s="329" t="s">
        <v>2984</v>
      </c>
    </row>
    <row r="64" spans="1:19" s="329" customFormat="1" ht="6.75" customHeight="1">
      <c r="A64" s="545"/>
      <c r="B64" s="545"/>
      <c r="C64" s="338"/>
      <c r="D64" s="1793"/>
      <c r="E64" s="1793"/>
      <c r="F64" s="1793"/>
      <c r="G64" s="1790"/>
      <c r="H64" s="1793"/>
      <c r="I64" s="338"/>
      <c r="J64" s="338"/>
      <c r="K64" s="1793"/>
      <c r="P64" s="339"/>
    </row>
    <row r="65" spans="1:16" s="329" customFormat="1" ht="13.15" customHeight="1">
      <c r="A65" s="545" t="s">
        <v>549</v>
      </c>
      <c r="B65" s="354" t="s">
        <v>1234</v>
      </c>
      <c r="D65" s="354"/>
      <c r="E65" s="354"/>
      <c r="F65" s="1793"/>
      <c r="G65" s="1790"/>
      <c r="H65" s="588"/>
      <c r="K65" s="1793"/>
    </row>
    <row r="66" spans="1:16" s="329" customFormat="1" ht="3" customHeight="1">
      <c r="A66" s="545"/>
      <c r="C66" s="1788"/>
      <c r="D66" s="1788"/>
      <c r="E66" s="1788"/>
      <c r="F66" s="1793"/>
      <c r="G66" s="1790"/>
      <c r="K66" s="1793"/>
      <c r="P66" s="339"/>
    </row>
    <row r="67" spans="1:16" s="329" customFormat="1" ht="13.15" customHeight="1">
      <c r="A67" s="545"/>
      <c r="B67" s="545" t="s">
        <v>2058</v>
      </c>
      <c r="C67" s="296" t="s">
        <v>2795</v>
      </c>
      <c r="D67" s="1788"/>
      <c r="E67" s="1788"/>
      <c r="F67" s="1793"/>
      <c r="G67" s="1790"/>
      <c r="H67" s="2526" t="s">
        <v>3070</v>
      </c>
      <c r="I67" s="2527"/>
      <c r="K67" s="1838" t="s">
        <v>1838</v>
      </c>
      <c r="L67" s="1838"/>
      <c r="N67" s="2474"/>
      <c r="O67" s="2475"/>
      <c r="P67" s="2476"/>
    </row>
    <row r="68" spans="1:16" s="329" customFormat="1" ht="3" customHeight="1">
      <c r="A68" s="545"/>
      <c r="B68" s="545"/>
      <c r="D68" s="1782"/>
      <c r="E68" s="1782"/>
      <c r="F68" s="1782"/>
      <c r="G68" s="1782"/>
      <c r="I68" s="1790"/>
      <c r="K68" s="1783"/>
      <c r="L68" s="1783"/>
      <c r="M68" s="1790"/>
      <c r="N68" s="1793"/>
      <c r="P68" s="339"/>
    </row>
    <row r="69" spans="1:16" s="329" customFormat="1" ht="13.15" customHeight="1">
      <c r="A69" s="545"/>
      <c r="B69" s="545"/>
      <c r="E69" s="1788"/>
      <c r="K69" s="1839" t="s">
        <v>3504</v>
      </c>
      <c r="L69" s="1839"/>
      <c r="M69" s="355" t="s">
        <v>3069</v>
      </c>
      <c r="N69" s="2525"/>
      <c r="O69" s="355" t="s">
        <v>3070</v>
      </c>
      <c r="P69" s="2525"/>
    </row>
    <row r="70" spans="1:16" s="329" customFormat="1" ht="3" customHeight="1">
      <c r="A70" s="545"/>
      <c r="B70" s="545"/>
      <c r="D70" s="1782"/>
      <c r="E70" s="1782"/>
      <c r="F70" s="1782"/>
      <c r="G70" s="1782"/>
      <c r="K70" s="1839"/>
      <c r="L70" s="1839"/>
      <c r="M70" s="1790"/>
      <c r="N70" s="1793"/>
      <c r="P70" s="339"/>
    </row>
    <row r="71" spans="1:16" s="329" customFormat="1" ht="13.15" customHeight="1">
      <c r="A71" s="545"/>
      <c r="B71" s="545"/>
      <c r="D71" s="1783"/>
      <c r="E71" s="1788"/>
      <c r="K71" s="1839"/>
      <c r="L71" s="1839"/>
      <c r="M71" s="342" t="s">
        <v>3071</v>
      </c>
      <c r="N71" s="2525"/>
      <c r="O71" s="342" t="s">
        <v>1659</v>
      </c>
      <c r="P71" s="2525"/>
    </row>
    <row r="72" spans="1:16" s="329" customFormat="1" ht="3" customHeight="1">
      <c r="A72" s="545"/>
      <c r="B72" s="545"/>
      <c r="D72" s="1782"/>
      <c r="E72" s="1782"/>
      <c r="F72" s="1782"/>
      <c r="G72" s="1782"/>
      <c r="I72" s="1790"/>
      <c r="K72" s="1783"/>
      <c r="L72" s="1783"/>
      <c r="M72" s="1790"/>
      <c r="N72" s="1793"/>
      <c r="P72" s="339"/>
    </row>
    <row r="73" spans="1:16" s="329" customFormat="1" ht="13.15" customHeight="1">
      <c r="A73" s="545"/>
      <c r="B73" s="545" t="s">
        <v>2061</v>
      </c>
      <c r="C73" s="340" t="s">
        <v>1465</v>
      </c>
      <c r="D73" s="1793"/>
      <c r="E73" s="353"/>
      <c r="F73" s="1782" t="s">
        <v>828</v>
      </c>
      <c r="H73" s="2525">
        <v>11</v>
      </c>
      <c r="K73" s="1838" t="s">
        <v>539</v>
      </c>
      <c r="L73" s="1838"/>
      <c r="N73" s="356">
        <f>IF('Part VI-Revenues &amp; Expenses'!$O$62=0,0,H73/'Part VI-Revenues &amp; Expenses'!$O$62)</f>
        <v>5.2884615384615384E-2</v>
      </c>
      <c r="O73" s="342" t="s">
        <v>4152</v>
      </c>
      <c r="P73" s="1345">
        <f>'DCA Underwriting Assumptions'!$Q$124</f>
        <v>0.05</v>
      </c>
    </row>
    <row r="74" spans="1:16" s="329" customFormat="1" ht="12.75" customHeight="1">
      <c r="A74" s="545"/>
      <c r="B74" s="545"/>
      <c r="D74" s="1782" t="s">
        <v>2979</v>
      </c>
      <c r="E74" s="1782"/>
      <c r="F74" s="1782" t="s">
        <v>828</v>
      </c>
      <c r="H74" s="2525">
        <v>5</v>
      </c>
      <c r="K74" s="1793" t="s">
        <v>2980</v>
      </c>
      <c r="L74" s="1793"/>
      <c r="N74" s="356">
        <f>IF(H73=0,0,H74/H73)</f>
        <v>0.45454545454545453</v>
      </c>
      <c r="O74" s="342" t="s">
        <v>4152</v>
      </c>
      <c r="P74" s="1345">
        <f>'DCA Underwriting Assumptions'!$Q$125</f>
        <v>0.4</v>
      </c>
    </row>
    <row r="75" spans="1:16" s="329" customFormat="1" ht="3" customHeight="1">
      <c r="A75" s="545"/>
      <c r="B75" s="545"/>
      <c r="D75" s="1782"/>
      <c r="E75" s="1782"/>
      <c r="F75" s="1782"/>
      <c r="I75" s="1790"/>
      <c r="K75" s="1783"/>
      <c r="L75" s="1783"/>
      <c r="M75" s="1790"/>
      <c r="N75" s="1790"/>
      <c r="P75" s="1784"/>
    </row>
    <row r="76" spans="1:16" s="329" customFormat="1" ht="13.15" customHeight="1">
      <c r="A76" s="545"/>
      <c r="B76" s="545" t="s">
        <v>779</v>
      </c>
      <c r="C76" s="340" t="s">
        <v>1913</v>
      </c>
      <c r="D76" s="353"/>
      <c r="E76" s="353"/>
      <c r="F76" s="1782" t="s">
        <v>828</v>
      </c>
      <c r="H76" s="2525">
        <v>5</v>
      </c>
      <c r="K76" s="1838" t="s">
        <v>539</v>
      </c>
      <c r="L76" s="1838"/>
      <c r="N76" s="356">
        <f>IF('Part VI-Revenues &amp; Expenses'!$O$62=0,0,H76/'Part VI-Revenues &amp; Expenses'!$O$62)</f>
        <v>2.403846153846154E-2</v>
      </c>
      <c r="O76" s="342" t="s">
        <v>4152</v>
      </c>
      <c r="P76" s="1345">
        <f>'DCA Underwriting Assumptions'!$Q$126</f>
        <v>0.02</v>
      </c>
    </row>
    <row r="77" spans="1:16" s="329" customFormat="1" ht="6.75" customHeight="1">
      <c r="A77" s="545"/>
      <c r="B77" s="545"/>
      <c r="D77" s="1782"/>
      <c r="E77" s="1782"/>
      <c r="F77" s="1782"/>
      <c r="G77" s="1782"/>
      <c r="I77" s="1790"/>
      <c r="J77" s="1790"/>
      <c r="K77" s="1790"/>
      <c r="L77" s="1790"/>
      <c r="M77" s="1790"/>
      <c r="N77" s="1793"/>
      <c r="P77" s="339"/>
    </row>
    <row r="78" spans="1:16" s="329" customFormat="1" ht="13.15" customHeight="1">
      <c r="A78" s="357" t="s">
        <v>803</v>
      </c>
      <c r="B78" s="1788" t="s">
        <v>2462</v>
      </c>
      <c r="D78" s="1782"/>
      <c r="E78" s="1782"/>
      <c r="F78" s="1782"/>
      <c r="G78" s="1782"/>
      <c r="H78" s="1782"/>
      <c r="I78" s="1790"/>
      <c r="M78" s="1790"/>
      <c r="N78" s="1793"/>
      <c r="P78" s="339"/>
    </row>
    <row r="79" spans="1:16" s="329" customFormat="1" ht="3" customHeight="1">
      <c r="A79" s="545"/>
      <c r="B79" s="545"/>
      <c r="C79" s="1788"/>
      <c r="D79" s="1782"/>
      <c r="E79" s="1782"/>
      <c r="F79" s="1782"/>
      <c r="L79" s="1790"/>
      <c r="M79" s="1790"/>
      <c r="N79" s="1793"/>
      <c r="P79" s="339"/>
    </row>
    <row r="80" spans="1:16" s="329" customFormat="1" ht="13.15" customHeight="1">
      <c r="A80" s="545"/>
      <c r="B80" s="545" t="s">
        <v>2058</v>
      </c>
      <c r="C80" s="296" t="s">
        <v>2461</v>
      </c>
      <c r="D80" s="1782"/>
      <c r="E80" s="1782"/>
      <c r="F80" s="1782"/>
      <c r="H80" s="2528" t="s">
        <v>902</v>
      </c>
      <c r="I80" s="2529"/>
      <c r="J80" s="2530"/>
      <c r="M80" s="1790"/>
      <c r="N80" s="1790"/>
      <c r="P80" s="339"/>
    </row>
    <row r="81" spans="1:16" s="329" customFormat="1" ht="3" customHeight="1">
      <c r="A81" s="545"/>
      <c r="B81" s="545"/>
      <c r="D81" s="1782"/>
      <c r="E81" s="1782"/>
      <c r="F81" s="1782"/>
      <c r="G81" s="1782"/>
      <c r="I81" s="1790"/>
      <c r="J81" s="1790"/>
      <c r="K81" s="1790"/>
      <c r="L81" s="1790"/>
      <c r="M81" s="1790"/>
      <c r="N81" s="1793"/>
      <c r="P81" s="339"/>
    </row>
    <row r="82" spans="1:16" s="329" customFormat="1" ht="13.15" customHeight="1">
      <c r="B82" s="545" t="s">
        <v>2061</v>
      </c>
      <c r="C82" s="331" t="s">
        <v>1591</v>
      </c>
      <c r="K82" s="334" t="s">
        <v>901</v>
      </c>
      <c r="N82" s="358"/>
      <c r="P82" s="2488"/>
    </row>
    <row r="83" spans="1:16" s="329" customFormat="1" ht="6.75" customHeight="1">
      <c r="A83" s="545"/>
      <c r="B83" s="545"/>
      <c r="C83" s="331"/>
      <c r="D83" s="1782"/>
      <c r="E83" s="1782"/>
      <c r="F83" s="1782"/>
      <c r="G83" s="1782"/>
      <c r="I83" s="1790"/>
      <c r="J83" s="1790"/>
      <c r="K83" s="1790"/>
      <c r="L83" s="1790"/>
      <c r="M83" s="1790"/>
      <c r="N83" s="1793"/>
      <c r="P83" s="339"/>
    </row>
    <row r="84" spans="1:16" s="329" customFormat="1" ht="13.15" customHeight="1">
      <c r="A84" s="357" t="s">
        <v>305</v>
      </c>
      <c r="B84" s="1788" t="s">
        <v>2119</v>
      </c>
      <c r="D84" s="1782"/>
    </row>
    <row r="85" spans="1:16" s="329" customFormat="1" ht="3" customHeight="1">
      <c r="A85" s="545"/>
      <c r="B85" s="545"/>
      <c r="D85" s="1782"/>
      <c r="N85" s="1793"/>
      <c r="P85" s="339"/>
    </row>
    <row r="86" spans="1:16" s="329" customFormat="1" ht="13.15" customHeight="1">
      <c r="A86" s="357"/>
      <c r="B86" s="545" t="s">
        <v>2058</v>
      </c>
      <c r="C86" s="331" t="s">
        <v>2814</v>
      </c>
      <c r="F86" s="353" t="s">
        <v>2688</v>
      </c>
      <c r="H86" s="2488"/>
      <c r="K86" s="353" t="s">
        <v>3655</v>
      </c>
      <c r="M86" s="2488" t="s">
        <v>3154</v>
      </c>
    </row>
    <row r="87" spans="1:16" s="329" customFormat="1" ht="3" customHeight="1">
      <c r="A87" s="545"/>
      <c r="B87" s="545"/>
      <c r="C87" s="1788"/>
      <c r="F87" s="1782"/>
      <c r="H87" s="1782"/>
      <c r="J87" s="1790"/>
      <c r="K87" s="1790"/>
      <c r="L87" s="1790"/>
      <c r="M87" s="1790"/>
      <c r="N87" s="1790"/>
      <c r="P87" s="339"/>
    </row>
    <row r="88" spans="1:16" s="329" customFormat="1" ht="13.15" customHeight="1">
      <c r="A88" s="357"/>
      <c r="B88" s="545" t="s">
        <v>2061</v>
      </c>
      <c r="C88" s="331" t="s">
        <v>2815</v>
      </c>
      <c r="F88" s="1783" t="s">
        <v>2773</v>
      </c>
      <c r="H88" s="2488"/>
      <c r="J88" s="1790"/>
      <c r="K88" s="540" t="s">
        <v>2816</v>
      </c>
      <c r="L88" s="1790"/>
      <c r="M88" s="1790"/>
      <c r="N88" s="1790"/>
      <c r="O88" s="1790"/>
    </row>
    <row r="89" spans="1:16" s="329" customFormat="1" ht="6.75" customHeight="1">
      <c r="A89" s="545"/>
      <c r="B89" s="545"/>
      <c r="C89" s="331"/>
      <c r="D89" s="1782"/>
      <c r="E89" s="1782"/>
      <c r="F89" s="1782"/>
      <c r="G89" s="1782"/>
      <c r="I89" s="1790"/>
      <c r="J89" s="1790"/>
      <c r="K89" s="1790"/>
      <c r="L89" s="1790"/>
      <c r="M89" s="1790"/>
      <c r="N89" s="1793"/>
      <c r="P89" s="339"/>
    </row>
    <row r="90" spans="1:16" s="329" customFormat="1" ht="13.15" customHeight="1">
      <c r="A90" s="357" t="s">
        <v>440</v>
      </c>
      <c r="B90" s="1788" t="s">
        <v>2902</v>
      </c>
      <c r="D90" s="1782"/>
      <c r="H90" s="2492" t="s">
        <v>4329</v>
      </c>
      <c r="I90" s="2494"/>
      <c r="J90" s="1790"/>
    </row>
    <row r="91" spans="1:16" s="329" customFormat="1" ht="6.75" customHeight="1">
      <c r="A91" s="545"/>
      <c r="D91" s="346"/>
      <c r="E91" s="1793"/>
      <c r="I91" s="346"/>
      <c r="J91" s="338"/>
      <c r="K91" s="1793"/>
      <c r="P91" s="339"/>
    </row>
    <row r="92" spans="1:16" s="329" customFormat="1" ht="13.15" customHeight="1">
      <c r="A92" s="357" t="s">
        <v>376</v>
      </c>
      <c r="B92" s="351" t="s">
        <v>1232</v>
      </c>
      <c r="D92" s="1793"/>
      <c r="E92" s="1793"/>
      <c r="F92" s="1793"/>
      <c r="G92" s="1793"/>
      <c r="H92" s="1793"/>
      <c r="I92" s="346"/>
      <c r="J92" s="338"/>
      <c r="K92" s="1793"/>
      <c r="P92" s="339"/>
    </row>
    <row r="93" spans="1:16" s="329" customFormat="1" ht="3" customHeight="1">
      <c r="A93" s="357"/>
      <c r="B93" s="545"/>
      <c r="C93" s="351"/>
      <c r="D93" s="1793"/>
      <c r="E93" s="1793"/>
      <c r="F93" s="1793"/>
      <c r="G93" s="1793"/>
      <c r="H93" s="1793"/>
      <c r="I93" s="346"/>
      <c r="J93" s="338"/>
      <c r="K93" s="1793"/>
    </row>
    <row r="94" spans="1:16" s="329" customFormat="1" ht="13.15" customHeight="1">
      <c r="A94" s="545"/>
      <c r="B94" s="545"/>
      <c r="C94" s="338" t="s">
        <v>571</v>
      </c>
      <c r="D94" s="1793"/>
      <c r="E94" s="2474" t="s">
        <v>1468</v>
      </c>
      <c r="F94" s="2475"/>
      <c r="G94" s="2475"/>
      <c r="H94" s="2475"/>
      <c r="I94" s="2475"/>
      <c r="J94" s="2475"/>
      <c r="K94" s="2475"/>
      <c r="L94" s="2476"/>
      <c r="M94" s="1864" t="s">
        <v>572</v>
      </c>
      <c r="N94" s="1864"/>
      <c r="O94" s="2531">
        <v>42509</v>
      </c>
      <c r="P94" s="2532"/>
    </row>
    <row r="95" spans="1:16" s="329" customFormat="1" ht="13.15" customHeight="1">
      <c r="C95" s="334" t="s">
        <v>1058</v>
      </c>
      <c r="D95" s="342"/>
      <c r="E95" s="2474" t="s">
        <v>4330</v>
      </c>
      <c r="F95" s="2475"/>
      <c r="G95" s="2475"/>
      <c r="H95" s="2475"/>
      <c r="I95" s="2475"/>
      <c r="J95" s="2475"/>
      <c r="K95" s="2475"/>
      <c r="L95" s="2476"/>
      <c r="M95" s="1864" t="s">
        <v>840</v>
      </c>
      <c r="N95" s="1864"/>
      <c r="O95" s="2533">
        <v>2016</v>
      </c>
      <c r="P95" s="2534"/>
    </row>
    <row r="96" spans="1:16" s="329" customFormat="1" ht="13.15" customHeight="1">
      <c r="C96" s="334" t="s">
        <v>642</v>
      </c>
      <c r="E96" s="2474" t="s">
        <v>1251</v>
      </c>
      <c r="F96" s="2535"/>
      <c r="G96" s="2536"/>
      <c r="H96" s="1784" t="s">
        <v>1865</v>
      </c>
      <c r="I96" s="2488" t="s">
        <v>880</v>
      </c>
      <c r="J96" s="359" t="s">
        <v>2308</v>
      </c>
      <c r="K96" s="2485"/>
      <c r="L96" s="2536"/>
      <c r="M96" s="299" t="s">
        <v>4103</v>
      </c>
      <c r="N96" s="299"/>
      <c r="O96" s="2537">
        <v>12500000</v>
      </c>
      <c r="P96" s="2538"/>
    </row>
    <row r="97" spans="1:16" s="329" customFormat="1" ht="13.15" customHeight="1">
      <c r="C97" s="329" t="s">
        <v>2273</v>
      </c>
      <c r="E97" s="2474" t="s">
        <v>4332</v>
      </c>
      <c r="F97" s="2535"/>
      <c r="G97" s="2536"/>
      <c r="H97" s="1790" t="s">
        <v>2055</v>
      </c>
      <c r="I97" s="2474" t="s">
        <v>4276</v>
      </c>
      <c r="J97" s="2535"/>
      <c r="K97" s="2536"/>
      <c r="L97" s="1802" t="s">
        <v>2059</v>
      </c>
      <c r="M97" s="2474" t="s">
        <v>4331</v>
      </c>
      <c r="N97" s="2535"/>
      <c r="O97" s="2535"/>
      <c r="P97" s="2536"/>
    </row>
    <row r="98" spans="1:16" s="329" customFormat="1" ht="13.15" customHeight="1">
      <c r="C98" s="334" t="s">
        <v>2272</v>
      </c>
      <c r="E98" s="2482">
        <v>4048804100</v>
      </c>
      <c r="F98" s="2487"/>
      <c r="G98" s="2483"/>
      <c r="H98" s="1790" t="s">
        <v>1868</v>
      </c>
      <c r="I98" s="2521"/>
      <c r="J98" s="2536"/>
      <c r="K98" s="359" t="s">
        <v>1869</v>
      </c>
      <c r="L98" s="2521">
        <v>4046148314</v>
      </c>
      <c r="M98" s="2536"/>
      <c r="N98" s="359" t="s">
        <v>2054</v>
      </c>
      <c r="O98" s="2521"/>
      <c r="P98" s="2536"/>
    </row>
    <row r="99" spans="1:16" s="329" customFormat="1" ht="3" customHeight="1">
      <c r="A99" s="545"/>
      <c r="B99" s="545"/>
      <c r="G99" s="346"/>
      <c r="H99" s="1790"/>
      <c r="I99" s="1790"/>
      <c r="M99" s="339"/>
    </row>
    <row r="100" spans="1:16" s="329" customFormat="1" ht="13.15" customHeight="1">
      <c r="A100" s="357" t="s">
        <v>377</v>
      </c>
      <c r="B100" s="1788" t="s">
        <v>1728</v>
      </c>
      <c r="D100" s="346"/>
      <c r="E100" s="346"/>
      <c r="F100" s="1790"/>
      <c r="G100" s="1790"/>
      <c r="H100" s="1790"/>
      <c r="I100" s="1790"/>
      <c r="J100" s="346"/>
      <c r="K100" s="1790"/>
      <c r="L100" s="1790"/>
      <c r="N100" s="1793"/>
      <c r="O100" s="1793"/>
      <c r="P100" s="339"/>
    </row>
    <row r="101" spans="1:16" s="329" customFormat="1" ht="3.6" customHeight="1">
      <c r="A101" s="357"/>
      <c r="B101" s="1788"/>
      <c r="D101" s="346"/>
      <c r="E101" s="346"/>
      <c r="F101" s="1790"/>
      <c r="G101" s="1790"/>
      <c r="H101" s="1790"/>
      <c r="I101" s="1790"/>
      <c r="J101" s="346"/>
      <c r="K101" s="1790"/>
      <c r="L101" s="1790"/>
      <c r="N101" s="1793"/>
      <c r="O101" s="1793"/>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5"/>
      <c r="B103" s="545"/>
      <c r="C103" s="361"/>
      <c r="D103" s="361"/>
      <c r="E103" s="361"/>
      <c r="F103" s="361"/>
      <c r="G103" s="361"/>
      <c r="H103" s="361"/>
      <c r="I103" s="361"/>
      <c r="J103" s="361"/>
      <c r="K103" s="361"/>
      <c r="L103" s="361"/>
      <c r="M103" s="361"/>
      <c r="N103" s="361"/>
      <c r="O103" s="361"/>
      <c r="P103" s="361"/>
    </row>
    <row r="104" spans="1:16" s="329" customFormat="1" ht="13.15" customHeight="1">
      <c r="A104" s="545"/>
      <c r="B104" s="545" t="s">
        <v>2058</v>
      </c>
      <c r="C104" s="1788" t="s">
        <v>1466</v>
      </c>
      <c r="D104" s="1782"/>
      <c r="E104" s="1782"/>
      <c r="F104" s="1790"/>
      <c r="G104" s="1790"/>
      <c r="H104" s="2539"/>
      <c r="N104" s="1793"/>
      <c r="O104" s="1793"/>
    </row>
    <row r="105" spans="1:16" s="329" customFormat="1" ht="3.6" customHeight="1">
      <c r="A105" s="545"/>
      <c r="B105" s="545"/>
      <c r="C105" s="361"/>
      <c r="D105" s="361"/>
      <c r="E105" s="361"/>
      <c r="F105" s="361"/>
      <c r="G105" s="361"/>
      <c r="H105" s="361"/>
      <c r="J105" s="361"/>
      <c r="M105" s="361"/>
      <c r="N105" s="361"/>
      <c r="O105" s="361"/>
    </row>
    <row r="106" spans="1:16" s="329" customFormat="1" ht="13.15" customHeight="1">
      <c r="A106" s="545"/>
      <c r="B106" s="545" t="s">
        <v>2061</v>
      </c>
      <c r="C106" s="1788" t="s">
        <v>430</v>
      </c>
      <c r="D106" s="1782"/>
      <c r="E106" s="1782"/>
      <c r="F106" s="1790"/>
      <c r="G106" s="1790"/>
      <c r="H106" s="2540"/>
      <c r="J106" s="346"/>
      <c r="K106" s="1783"/>
      <c r="N106" s="1793"/>
    </row>
    <row r="107" spans="1:16" s="329" customFormat="1" ht="3.6" customHeight="1">
      <c r="A107" s="545"/>
      <c r="B107" s="545"/>
      <c r="C107" s="361"/>
      <c r="D107" s="361"/>
      <c r="E107" s="361"/>
      <c r="F107" s="361"/>
      <c r="G107" s="361"/>
      <c r="H107" s="361"/>
      <c r="I107" s="361"/>
      <c r="J107" s="361"/>
      <c r="K107" s="361"/>
      <c r="M107" s="361"/>
      <c r="N107" s="361"/>
      <c r="O107" s="361"/>
      <c r="P107" s="361"/>
    </row>
    <row r="108" spans="1:16" s="329" customFormat="1" ht="13.15" customHeight="1">
      <c r="B108" s="545" t="s">
        <v>779</v>
      </c>
      <c r="C108" s="1788" t="s">
        <v>315</v>
      </c>
      <c r="D108" s="1782"/>
      <c r="E108" s="1782"/>
      <c r="F108" s="1790"/>
      <c r="G108" s="1790"/>
      <c r="H108" s="1790"/>
      <c r="I108" s="1790"/>
      <c r="J108" s="346"/>
      <c r="K108" s="1790"/>
      <c r="L108" s="1790"/>
      <c r="N108" s="1793"/>
      <c r="O108" s="1793"/>
    </row>
    <row r="109" spans="1:16" s="329" customFormat="1" ht="13.15" customHeight="1">
      <c r="B109" s="545"/>
      <c r="C109" s="1782" t="s">
        <v>2213</v>
      </c>
      <c r="D109" s="1782"/>
      <c r="F109" s="1782" t="s">
        <v>1175</v>
      </c>
      <c r="G109" s="1790"/>
      <c r="H109" s="1790"/>
      <c r="I109" s="1790" t="s">
        <v>1343</v>
      </c>
      <c r="J109" s="1782" t="s">
        <v>2213</v>
      </c>
      <c r="K109" s="1782"/>
      <c r="M109" s="1782" t="s">
        <v>1175</v>
      </c>
      <c r="N109" s="1790"/>
      <c r="O109" s="1790"/>
      <c r="P109" s="1790" t="s">
        <v>1343</v>
      </c>
    </row>
    <row r="110" spans="1:16" s="329" customFormat="1" ht="13.15" customHeight="1">
      <c r="A110" s="545"/>
      <c r="B110" s="545"/>
      <c r="C110" s="2541">
        <v>1</v>
      </c>
      <c r="D110" s="2542"/>
      <c r="E110" s="2542"/>
      <c r="F110" s="2543"/>
      <c r="G110" s="2544"/>
      <c r="H110" s="2545"/>
      <c r="I110" s="2546"/>
      <c r="J110" s="2541">
        <v>7</v>
      </c>
      <c r="K110" s="2542"/>
      <c r="L110" s="2542"/>
      <c r="M110" s="2543"/>
      <c r="N110" s="2544"/>
      <c r="O110" s="2545"/>
      <c r="P110" s="2546"/>
    </row>
    <row r="111" spans="1:16" s="329" customFormat="1" ht="13.15" customHeight="1">
      <c r="A111" s="545"/>
      <c r="B111" s="545"/>
      <c r="C111" s="2547">
        <v>2</v>
      </c>
      <c r="D111" s="2548"/>
      <c r="E111" s="2548"/>
      <c r="F111" s="2549"/>
      <c r="G111" s="2550"/>
      <c r="H111" s="2551"/>
      <c r="I111" s="2552"/>
      <c r="J111" s="2547">
        <v>8</v>
      </c>
      <c r="K111" s="2548"/>
      <c r="L111" s="2548"/>
      <c r="M111" s="2549"/>
      <c r="N111" s="2550"/>
      <c r="O111" s="2551"/>
      <c r="P111" s="2552"/>
    </row>
    <row r="112" spans="1:16" s="329" customFormat="1" ht="13.15" customHeight="1">
      <c r="A112" s="545"/>
      <c r="B112" s="545"/>
      <c r="C112" s="2547">
        <v>3</v>
      </c>
      <c r="D112" s="2548"/>
      <c r="E112" s="2548"/>
      <c r="F112" s="2549"/>
      <c r="G112" s="2550"/>
      <c r="H112" s="2551"/>
      <c r="I112" s="2552"/>
      <c r="J112" s="2547">
        <v>9</v>
      </c>
      <c r="K112" s="2548"/>
      <c r="L112" s="2548"/>
      <c r="M112" s="2549"/>
      <c r="N112" s="2550"/>
      <c r="O112" s="2551"/>
      <c r="P112" s="2552"/>
    </row>
    <row r="113" spans="1:16" s="329" customFormat="1" ht="13.15" customHeight="1">
      <c r="A113" s="545"/>
      <c r="B113" s="545"/>
      <c r="C113" s="2547">
        <v>4</v>
      </c>
      <c r="D113" s="2548"/>
      <c r="E113" s="2548"/>
      <c r="F113" s="2549"/>
      <c r="G113" s="2550"/>
      <c r="H113" s="2551"/>
      <c r="I113" s="2552"/>
      <c r="J113" s="2547">
        <v>10</v>
      </c>
      <c r="K113" s="2548"/>
      <c r="L113" s="2548"/>
      <c r="M113" s="2549"/>
      <c r="N113" s="2550"/>
      <c r="O113" s="2551"/>
      <c r="P113" s="2552"/>
    </row>
    <row r="114" spans="1:16" s="329" customFormat="1" ht="13.15" customHeight="1">
      <c r="A114" s="545"/>
      <c r="B114" s="545"/>
      <c r="C114" s="2547">
        <v>5</v>
      </c>
      <c r="D114" s="2548"/>
      <c r="E114" s="2548"/>
      <c r="F114" s="2549"/>
      <c r="G114" s="2550"/>
      <c r="H114" s="2551"/>
      <c r="I114" s="2552"/>
      <c r="J114" s="2547">
        <v>11</v>
      </c>
      <c r="K114" s="2548"/>
      <c r="L114" s="2548"/>
      <c r="M114" s="2549"/>
      <c r="N114" s="2550"/>
      <c r="O114" s="2551"/>
      <c r="P114" s="2552"/>
    </row>
    <row r="115" spans="1:16" s="329" customFormat="1" ht="13.15" customHeight="1">
      <c r="A115" s="545"/>
      <c r="B115" s="545"/>
      <c r="C115" s="2553">
        <v>6</v>
      </c>
      <c r="D115" s="2554"/>
      <c r="E115" s="2554"/>
      <c r="F115" s="2555"/>
      <c r="G115" s="2556"/>
      <c r="H115" s="2557"/>
      <c r="I115" s="2558"/>
      <c r="J115" s="2553">
        <v>12</v>
      </c>
      <c r="K115" s="2554"/>
      <c r="L115" s="2554"/>
      <c r="M115" s="2555"/>
      <c r="N115" s="2556"/>
      <c r="O115" s="2557"/>
      <c r="P115" s="2558"/>
    </row>
    <row r="116" spans="1:16" s="329" customFormat="1" ht="4.9000000000000004" customHeight="1">
      <c r="A116" s="545"/>
      <c r="B116" s="545"/>
      <c r="C116" s="361"/>
      <c r="D116" s="361"/>
      <c r="E116" s="361"/>
      <c r="F116" s="361"/>
      <c r="G116" s="361"/>
      <c r="H116" s="361"/>
      <c r="I116" s="361"/>
      <c r="J116" s="361"/>
      <c r="K116" s="361"/>
      <c r="L116" s="361"/>
      <c r="M116" s="361"/>
      <c r="N116" s="361"/>
      <c r="O116" s="361"/>
      <c r="P116" s="361"/>
    </row>
    <row r="117" spans="1:16" s="329" customFormat="1" ht="13.15" customHeight="1">
      <c r="A117" s="545"/>
      <c r="B117" s="545" t="s">
        <v>2193</v>
      </c>
      <c r="C117" s="1865" t="s">
        <v>1917</v>
      </c>
      <c r="D117" s="1865"/>
      <c r="E117" s="1865"/>
      <c r="F117" s="1865"/>
      <c r="G117" s="1865"/>
      <c r="H117" s="1865"/>
      <c r="I117" s="1865"/>
      <c r="J117" s="1865"/>
      <c r="K117" s="1865"/>
      <c r="L117" s="1865"/>
      <c r="M117" s="1865"/>
      <c r="N117" s="1865"/>
      <c r="O117" s="1865"/>
      <c r="P117" s="1865"/>
    </row>
    <row r="118" spans="1:16" s="329" customFormat="1" ht="13.15" customHeight="1">
      <c r="A118" s="545"/>
      <c r="B118" s="545"/>
      <c r="C118" s="1865"/>
      <c r="D118" s="1865"/>
      <c r="E118" s="1865"/>
      <c r="F118" s="1865"/>
      <c r="G118" s="1865"/>
      <c r="H118" s="1865"/>
      <c r="I118" s="1865"/>
      <c r="J118" s="1865"/>
      <c r="K118" s="1865"/>
      <c r="L118" s="1865"/>
      <c r="M118" s="1865"/>
      <c r="N118" s="1865"/>
      <c r="O118" s="1865"/>
      <c r="P118" s="1865"/>
    </row>
    <row r="119" spans="1:16" s="329" customFormat="1" ht="13.15" customHeight="1">
      <c r="B119" s="545"/>
      <c r="C119" s="1782" t="s">
        <v>2213</v>
      </c>
      <c r="D119" s="1782"/>
      <c r="F119" s="1782" t="s">
        <v>1175</v>
      </c>
      <c r="G119" s="1790"/>
      <c r="H119" s="1790"/>
      <c r="I119" s="1790"/>
      <c r="J119" s="1782" t="s">
        <v>2213</v>
      </c>
      <c r="K119" s="1782"/>
      <c r="M119" s="1782" t="s">
        <v>1175</v>
      </c>
      <c r="N119" s="1790"/>
      <c r="O119" s="1790"/>
      <c r="P119" s="1790"/>
    </row>
    <row r="120" spans="1:16" s="329" customFormat="1" ht="13.15" customHeight="1">
      <c r="A120" s="545"/>
      <c r="B120" s="545"/>
      <c r="C120" s="2541">
        <v>1</v>
      </c>
      <c r="D120" s="2542"/>
      <c r="E120" s="2542"/>
      <c r="F120" s="2543"/>
      <c r="G120" s="2544"/>
      <c r="H120" s="2544"/>
      <c r="I120" s="2559"/>
      <c r="J120" s="2541">
        <v>7</v>
      </c>
      <c r="K120" s="2542"/>
      <c r="L120" s="2542"/>
      <c r="M120" s="2543"/>
      <c r="N120" s="2544"/>
      <c r="O120" s="2544"/>
      <c r="P120" s="2559"/>
    </row>
    <row r="121" spans="1:16" s="329" customFormat="1" ht="13.15" customHeight="1">
      <c r="A121" s="545"/>
      <c r="B121" s="545"/>
      <c r="C121" s="2547">
        <v>2</v>
      </c>
      <c r="D121" s="2548"/>
      <c r="E121" s="2548"/>
      <c r="F121" s="2549"/>
      <c r="G121" s="2550"/>
      <c r="H121" s="2550"/>
      <c r="I121" s="2560"/>
      <c r="J121" s="2547">
        <v>8</v>
      </c>
      <c r="K121" s="2548"/>
      <c r="L121" s="2548"/>
      <c r="M121" s="2549"/>
      <c r="N121" s="2550"/>
      <c r="O121" s="2550"/>
      <c r="P121" s="2560"/>
    </row>
    <row r="122" spans="1:16" s="329" customFormat="1" ht="13.15" customHeight="1">
      <c r="A122" s="545"/>
      <c r="B122" s="545"/>
      <c r="C122" s="2547">
        <v>3</v>
      </c>
      <c r="D122" s="2548"/>
      <c r="E122" s="2548"/>
      <c r="F122" s="2549"/>
      <c r="G122" s="2550"/>
      <c r="H122" s="2550"/>
      <c r="I122" s="2560"/>
      <c r="J122" s="2547">
        <v>9</v>
      </c>
      <c r="K122" s="2548"/>
      <c r="L122" s="2548"/>
      <c r="M122" s="2549"/>
      <c r="N122" s="2550"/>
      <c r="O122" s="2550"/>
      <c r="P122" s="2560"/>
    </row>
    <row r="123" spans="1:16" s="329" customFormat="1" ht="13.15" customHeight="1">
      <c r="A123" s="545"/>
      <c r="B123" s="545"/>
      <c r="C123" s="2547">
        <v>4</v>
      </c>
      <c r="D123" s="2548"/>
      <c r="E123" s="2548"/>
      <c r="F123" s="2549"/>
      <c r="G123" s="2550"/>
      <c r="H123" s="2550"/>
      <c r="I123" s="2560"/>
      <c r="J123" s="2547">
        <v>10</v>
      </c>
      <c r="K123" s="2548"/>
      <c r="L123" s="2548"/>
      <c r="M123" s="2549"/>
      <c r="N123" s="2550"/>
      <c r="O123" s="2550"/>
      <c r="P123" s="2560"/>
    </row>
    <row r="124" spans="1:16" s="329" customFormat="1" ht="13.15" customHeight="1">
      <c r="A124" s="545"/>
      <c r="B124" s="545"/>
      <c r="C124" s="2547">
        <v>5</v>
      </c>
      <c r="D124" s="2548"/>
      <c r="E124" s="2548"/>
      <c r="F124" s="2549"/>
      <c r="G124" s="2550"/>
      <c r="H124" s="2550"/>
      <c r="I124" s="2560"/>
      <c r="J124" s="2547">
        <v>11</v>
      </c>
      <c r="K124" s="2548"/>
      <c r="L124" s="2548"/>
      <c r="M124" s="2549"/>
      <c r="N124" s="2550"/>
      <c r="O124" s="2550"/>
      <c r="P124" s="2560"/>
    </row>
    <row r="125" spans="1:16" s="329" customFormat="1" ht="13.15" customHeight="1">
      <c r="A125" s="545"/>
      <c r="B125" s="545"/>
      <c r="C125" s="2553">
        <v>6</v>
      </c>
      <c r="D125" s="2554"/>
      <c r="E125" s="2554"/>
      <c r="F125" s="2555"/>
      <c r="G125" s="2556"/>
      <c r="H125" s="2556"/>
      <c r="I125" s="2561"/>
      <c r="J125" s="2553">
        <v>12</v>
      </c>
      <c r="K125" s="2554"/>
      <c r="L125" s="2554"/>
      <c r="M125" s="2555"/>
      <c r="N125" s="2556"/>
      <c r="O125" s="2556"/>
      <c r="P125" s="2561"/>
    </row>
    <row r="126" spans="1:16" s="329" customFormat="1" ht="6.6" customHeight="1">
      <c r="A126" s="545"/>
      <c r="B126" s="545"/>
      <c r="C126" s="1782"/>
      <c r="D126" s="1782"/>
      <c r="E126" s="1782"/>
      <c r="F126" s="1790"/>
      <c r="G126" s="1790"/>
      <c r="H126" s="1790"/>
      <c r="I126" s="1790"/>
      <c r="J126" s="346"/>
      <c r="K126" s="1790"/>
      <c r="L126" s="1790"/>
      <c r="N126" s="1793"/>
      <c r="O126" s="1793"/>
      <c r="P126" s="339"/>
    </row>
    <row r="127" spans="1:16" s="329" customFormat="1" ht="13.15" customHeight="1">
      <c r="A127" s="357" t="s">
        <v>378</v>
      </c>
      <c r="B127" s="354" t="s">
        <v>2503</v>
      </c>
      <c r="D127" s="354"/>
      <c r="E127" s="354"/>
      <c r="F127" s="354"/>
      <c r="H127" s="2488" t="s">
        <v>3157</v>
      </c>
      <c r="M127" s="1790"/>
      <c r="N127" s="1793"/>
      <c r="O127" s="1793"/>
      <c r="P127" s="339"/>
    </row>
    <row r="128" spans="1:16" s="329" customFormat="1" ht="3" customHeight="1">
      <c r="A128" s="357"/>
      <c r="B128" s="545"/>
      <c r="C128" s="1788"/>
      <c r="D128" s="1788"/>
      <c r="E128" s="1788"/>
      <c r="F128" s="1788"/>
      <c r="G128" s="1790"/>
      <c r="M128" s="1790"/>
      <c r="N128" s="1793"/>
      <c r="O128" s="1793"/>
    </row>
    <row r="129" spans="1:16" s="329" customFormat="1" ht="13.15" customHeight="1">
      <c r="A129" s="545"/>
      <c r="B129" s="545" t="s">
        <v>2058</v>
      </c>
      <c r="C129" s="335" t="s">
        <v>1777</v>
      </c>
      <c r="H129" s="2488"/>
      <c r="M129" s="1790"/>
      <c r="N129" s="1793"/>
      <c r="O129" s="1793"/>
      <c r="P129" s="339"/>
    </row>
    <row r="130" spans="1:16" s="329" customFormat="1" ht="13.15" customHeight="1">
      <c r="A130" s="545"/>
      <c r="B130" s="545"/>
      <c r="C130" s="1782" t="s">
        <v>2505</v>
      </c>
      <c r="D130" s="1782"/>
      <c r="E130" s="1782"/>
      <c r="F130" s="1790"/>
      <c r="H130" s="2562"/>
      <c r="N130" s="1793"/>
      <c r="O130" s="1793"/>
      <c r="P130" s="339"/>
    </row>
    <row r="131" spans="1:16" s="329" customFormat="1" ht="13.15" customHeight="1">
      <c r="A131" s="545"/>
      <c r="B131" s="545"/>
      <c r="C131" s="362" t="s">
        <v>1776</v>
      </c>
      <c r="D131" s="334"/>
      <c r="H131" s="2474"/>
      <c r="I131" s="2476"/>
      <c r="P131" s="339"/>
    </row>
    <row r="132" spans="1:16" s="329" customFormat="1" ht="13.15" customHeight="1">
      <c r="A132" s="545"/>
      <c r="B132" s="545"/>
      <c r="C132" s="1782" t="s">
        <v>2506</v>
      </c>
      <c r="D132" s="1782"/>
      <c r="E132" s="1782"/>
      <c r="F132" s="1790"/>
      <c r="H132" s="2562"/>
      <c r="K132" s="299" t="s">
        <v>2325</v>
      </c>
      <c r="O132" s="2474" t="s">
        <v>502</v>
      </c>
      <c r="P132" s="2476"/>
    </row>
    <row r="133" spans="1:16" s="329" customFormat="1" ht="13.15" customHeight="1">
      <c r="A133" s="545"/>
      <c r="B133" s="545"/>
      <c r="C133" s="1782" t="s">
        <v>2504</v>
      </c>
      <c r="F133" s="1790"/>
      <c r="H133" s="2539"/>
      <c r="K133" s="299" t="s">
        <v>2326</v>
      </c>
      <c r="O133" s="2474" t="s">
        <v>502</v>
      </c>
      <c r="P133" s="2476"/>
    </row>
    <row r="134" spans="1:16" s="329" customFormat="1" ht="13.15" customHeight="1">
      <c r="A134" s="545"/>
      <c r="B134" s="545"/>
      <c r="C134" s="1782" t="s">
        <v>2244</v>
      </c>
      <c r="D134" s="1782"/>
      <c r="E134" s="1782"/>
      <c r="F134" s="1790"/>
      <c r="H134" s="2531"/>
      <c r="I134" s="2532"/>
      <c r="N134" s="1793"/>
      <c r="O134" s="1793"/>
      <c r="P134" s="339"/>
    </row>
    <row r="135" spans="1:16" s="329" customFormat="1" ht="3" customHeight="1">
      <c r="A135" s="545"/>
      <c r="B135" s="545"/>
      <c r="C135" s="1782"/>
      <c r="D135" s="1782"/>
      <c r="E135" s="1782"/>
      <c r="F135" s="1790"/>
      <c r="N135" s="1793"/>
      <c r="O135" s="1793"/>
      <c r="P135" s="339"/>
    </row>
    <row r="136" spans="1:16" s="329" customFormat="1" ht="13.15" customHeight="1">
      <c r="A136" s="545"/>
      <c r="B136" s="545" t="s">
        <v>2061</v>
      </c>
      <c r="C136" s="1788" t="s">
        <v>2576</v>
      </c>
      <c r="D136" s="1782"/>
      <c r="E136" s="1782"/>
      <c r="F136" s="1790"/>
      <c r="H136" s="2539"/>
      <c r="N136" s="1793"/>
      <c r="O136" s="1793"/>
      <c r="P136" s="339"/>
    </row>
    <row r="137" spans="1:16" s="329" customFormat="1" ht="3" customHeight="1">
      <c r="A137" s="545"/>
      <c r="B137" s="545"/>
      <c r="C137" s="1782"/>
      <c r="D137" s="1782"/>
      <c r="E137" s="1782"/>
      <c r="F137" s="1790"/>
      <c r="G137" s="1790"/>
      <c r="M137" s="1790"/>
      <c r="N137" s="1793"/>
      <c r="O137" s="1793"/>
      <c r="P137" s="339"/>
    </row>
    <row r="138" spans="1:16" s="329" customFormat="1" ht="13.15" customHeight="1">
      <c r="A138" s="545"/>
      <c r="B138" s="545" t="s">
        <v>779</v>
      </c>
      <c r="C138" s="1788" t="s">
        <v>2806</v>
      </c>
      <c r="D138" s="1782"/>
      <c r="E138" s="1782"/>
      <c r="F138" s="1790"/>
      <c r="G138" s="1790"/>
      <c r="N138" s="1793"/>
      <c r="O138" s="1793"/>
      <c r="P138" s="339"/>
    </row>
    <row r="139" spans="1:16" s="329" customFormat="1" ht="13.15" customHeight="1">
      <c r="A139" s="545"/>
      <c r="B139" s="545"/>
      <c r="C139" s="1782" t="s">
        <v>748</v>
      </c>
      <c r="D139" s="1782"/>
      <c r="E139" s="1782"/>
      <c r="F139" s="1790"/>
      <c r="G139" s="1790"/>
      <c r="H139" s="2539"/>
      <c r="K139" s="1782" t="s">
        <v>1592</v>
      </c>
      <c r="L139" s="1782"/>
      <c r="M139" s="1790"/>
      <c r="N139" s="1790"/>
      <c r="O139" s="2539"/>
      <c r="P139" s="339"/>
    </row>
    <row r="140" spans="1:16" s="329" customFormat="1" ht="6" customHeight="1">
      <c r="A140" s="545"/>
      <c r="B140" s="545"/>
      <c r="C140" s="1782"/>
      <c r="D140" s="1782"/>
      <c r="E140" s="1782"/>
      <c r="F140" s="1790"/>
      <c r="G140" s="1790"/>
      <c r="H140" s="1790"/>
      <c r="I140" s="1790"/>
      <c r="J140" s="346"/>
      <c r="K140" s="1790"/>
      <c r="L140" s="1790"/>
      <c r="N140" s="1793"/>
      <c r="O140" s="1793"/>
      <c r="P140" s="339"/>
    </row>
    <row r="141" spans="1:16" s="329" customFormat="1" ht="13.15" customHeight="1">
      <c r="A141" s="357" t="s">
        <v>1792</v>
      </c>
      <c r="B141" s="354" t="s">
        <v>1233</v>
      </c>
      <c r="D141" s="354"/>
      <c r="E141" s="354"/>
      <c r="F141" s="354"/>
      <c r="G141" s="1790"/>
      <c r="H141" s="1790"/>
      <c r="I141" s="1790"/>
      <c r="J141" s="346"/>
      <c r="K141" s="1790"/>
      <c r="L141" s="1790"/>
      <c r="N141" s="1793"/>
      <c r="O141" s="1793"/>
      <c r="P141" s="339"/>
    </row>
    <row r="142" spans="1:16" s="329" customFormat="1" ht="1.9" customHeight="1">
      <c r="A142" s="357"/>
      <c r="B142" s="545"/>
      <c r="C142" s="1788"/>
      <c r="D142" s="1788"/>
      <c r="E142" s="1788"/>
      <c r="F142" s="1788"/>
      <c r="G142" s="1790"/>
      <c r="H142" s="1790"/>
      <c r="I142" s="1790"/>
      <c r="J142" s="346"/>
      <c r="K142" s="1790"/>
      <c r="L142" s="1790"/>
      <c r="N142" s="1793"/>
      <c r="O142" s="1793"/>
    </row>
    <row r="143" spans="1:16" s="329" customFormat="1" ht="13.15" customHeight="1">
      <c r="A143" s="545"/>
      <c r="B143" s="545" t="s">
        <v>2058</v>
      </c>
      <c r="C143" s="345" t="s">
        <v>1891</v>
      </c>
      <c r="F143" s="1790"/>
      <c r="G143" s="1790"/>
      <c r="H143" s="1790"/>
      <c r="I143" s="1790"/>
      <c r="J143" s="346"/>
      <c r="K143" s="1790"/>
      <c r="L143" s="1790"/>
      <c r="N143" s="1793"/>
      <c r="O143" s="1793"/>
      <c r="P143" s="339"/>
    </row>
    <row r="144" spans="1:16" s="329" customFormat="1" ht="12.6" customHeight="1">
      <c r="A144" s="545"/>
      <c r="B144" s="545"/>
      <c r="C144" s="353" t="s">
        <v>1584</v>
      </c>
      <c r="D144" s="346"/>
      <c r="E144" s="346"/>
      <c r="F144" s="1790"/>
      <c r="G144" s="1790"/>
      <c r="H144" s="1790"/>
      <c r="I144" s="1790"/>
      <c r="K144" s="2539"/>
      <c r="N144" s="1793"/>
      <c r="O144" s="1793"/>
      <c r="P144" s="339"/>
    </row>
    <row r="145" spans="1:16" s="329" customFormat="1" ht="12.6" customHeight="1">
      <c r="A145" s="545"/>
      <c r="B145" s="545"/>
      <c r="C145" s="329" t="s">
        <v>639</v>
      </c>
      <c r="K145" s="2525"/>
      <c r="L145" s="334" t="s">
        <v>1861</v>
      </c>
      <c r="P145" s="363">
        <f>IF('Part VI-Revenues &amp; Expenses'!O$60=0,0,K145/'Part VI-Revenues &amp; Expenses'!$O$60)</f>
        <v>0</v>
      </c>
    </row>
    <row r="146" spans="1:16" s="329" customFormat="1" ht="12.6" customHeight="1">
      <c r="A146" s="545"/>
      <c r="B146" s="545"/>
      <c r="C146" s="329" t="s">
        <v>2245</v>
      </c>
      <c r="K146" s="2525"/>
      <c r="L146" s="334" t="s">
        <v>1861</v>
      </c>
      <c r="P146" s="363">
        <f>IF('Part VI-Revenues &amp; Expenses'!O$60=0,0,K146/'Part VI-Revenues &amp; Expenses'!$O$60)</f>
        <v>0</v>
      </c>
    </row>
    <row r="147" spans="1:16" s="329" customFormat="1" ht="12.6" customHeight="1">
      <c r="A147" s="545"/>
      <c r="B147" s="545"/>
      <c r="C147" s="329" t="s">
        <v>1862</v>
      </c>
      <c r="E147" s="2474"/>
      <c r="F147" s="2475"/>
      <c r="G147" s="2475"/>
      <c r="H147" s="2475"/>
      <c r="I147" s="2475"/>
      <c r="J147" s="2475"/>
      <c r="K147" s="2476"/>
      <c r="L147" s="364" t="s">
        <v>1863</v>
      </c>
      <c r="M147" s="2474"/>
      <c r="N147" s="2475"/>
      <c r="O147" s="2475"/>
      <c r="P147" s="2476"/>
    </row>
    <row r="148" spans="1:16" s="329" customFormat="1" ht="12.6" customHeight="1">
      <c r="A148" s="545"/>
      <c r="B148" s="545"/>
      <c r="C148" s="334" t="s">
        <v>1864</v>
      </c>
      <c r="D148" s="342"/>
      <c r="E148" s="2474"/>
      <c r="F148" s="2475"/>
      <c r="G148" s="2475"/>
      <c r="H148" s="2475"/>
      <c r="I148" s="2475"/>
      <c r="J148" s="2475"/>
      <c r="K148" s="2563"/>
      <c r="L148" s="364" t="s">
        <v>1869</v>
      </c>
      <c r="M148" s="2482"/>
      <c r="N148" s="2487"/>
      <c r="O148" s="2483"/>
    </row>
    <row r="149" spans="1:16" s="329" customFormat="1" ht="12.6" customHeight="1">
      <c r="A149" s="545"/>
      <c r="B149" s="545"/>
      <c r="C149" s="334" t="s">
        <v>642</v>
      </c>
      <c r="E149" s="2474"/>
      <c r="F149" s="2475"/>
      <c r="G149" s="2475"/>
      <c r="H149" s="2476"/>
      <c r="I149" s="359" t="s">
        <v>2308</v>
      </c>
      <c r="J149" s="2564"/>
      <c r="K149" s="2565"/>
      <c r="L149" s="365" t="s">
        <v>2054</v>
      </c>
      <c r="M149" s="2566"/>
      <c r="N149" s="2567"/>
      <c r="O149" s="2568"/>
    </row>
    <row r="150" spans="1:16" s="329" customFormat="1" ht="12.6" customHeight="1">
      <c r="A150" s="545"/>
      <c r="B150" s="545"/>
      <c r="C150" s="334" t="s">
        <v>1867</v>
      </c>
      <c r="E150" s="2482"/>
      <c r="F150" s="2487"/>
      <c r="G150" s="2483"/>
      <c r="H150" s="1787"/>
      <c r="I150" s="1785" t="s">
        <v>1866</v>
      </c>
      <c r="J150" s="2489"/>
      <c r="K150" s="2490"/>
      <c r="L150" s="2490"/>
      <c r="M150" s="2490"/>
      <c r="N150" s="2490"/>
      <c r="O150" s="2490"/>
      <c r="P150" s="2491"/>
    </row>
    <row r="151" spans="1:16" s="329" customFormat="1" ht="6" customHeight="1">
      <c r="A151" s="545"/>
      <c r="B151" s="545"/>
      <c r="C151" s="334"/>
      <c r="E151" s="366"/>
      <c r="F151" s="366"/>
      <c r="G151" s="366"/>
      <c r="H151" s="1790"/>
      <c r="I151" s="366"/>
      <c r="J151" s="366"/>
      <c r="K151" s="1790"/>
      <c r="L151" s="366"/>
      <c r="M151" s="366"/>
      <c r="N151" s="1790"/>
      <c r="O151" s="366"/>
      <c r="P151" s="366"/>
    </row>
    <row r="152" spans="1:16" s="329" customFormat="1" ht="12.6" customHeight="1">
      <c r="A152" s="545"/>
      <c r="B152" s="545" t="s">
        <v>2061</v>
      </c>
      <c r="C152" s="1788" t="s">
        <v>2807</v>
      </c>
      <c r="D152" s="1788"/>
      <c r="E152" s="1788"/>
      <c r="F152" s="1788"/>
      <c r="G152" s="1788"/>
      <c r="I152" s="2539"/>
      <c r="J152" s="1844" t="s">
        <v>792</v>
      </c>
      <c r="K152" s="1845"/>
      <c r="L152" s="2539"/>
      <c r="M152" s="1861" t="s">
        <v>2406</v>
      </c>
      <c r="N152" s="1862"/>
      <c r="O152" s="1863"/>
      <c r="P152" s="2562"/>
    </row>
    <row r="153" spans="1:16" s="329" customFormat="1" ht="6" customHeight="1">
      <c r="A153" s="545"/>
      <c r="B153" s="545"/>
      <c r="C153" s="1788"/>
      <c r="D153" s="1788"/>
      <c r="E153" s="331"/>
      <c r="F153" s="1788"/>
      <c r="G153" s="1788"/>
      <c r="J153" s="338"/>
      <c r="K153" s="367"/>
      <c r="M153" s="1793"/>
      <c r="O153" s="1790"/>
      <c r="P153" s="339"/>
    </row>
    <row r="154" spans="1:16" s="329" customFormat="1" ht="12.6" customHeight="1">
      <c r="A154" s="545"/>
      <c r="B154" s="545"/>
      <c r="C154" s="1788" t="s">
        <v>2808</v>
      </c>
      <c r="D154" s="1788"/>
      <c r="E154" s="1788"/>
      <c r="F154" s="1788"/>
      <c r="G154" s="1788"/>
      <c r="I154" s="2539" t="s">
        <v>3157</v>
      </c>
      <c r="J154" s="1844" t="s">
        <v>792</v>
      </c>
      <c r="K154" s="1845"/>
      <c r="L154" s="2539"/>
      <c r="M154" s="1861" t="s">
        <v>2406</v>
      </c>
      <c r="N154" s="1862"/>
      <c r="O154" s="1863"/>
      <c r="P154" s="2562"/>
    </row>
    <row r="155" spans="1:16" s="329" customFormat="1" ht="6" customHeight="1">
      <c r="A155" s="545"/>
      <c r="B155" s="545"/>
      <c r="C155" s="1788"/>
      <c r="D155" s="1788"/>
      <c r="E155" s="331"/>
      <c r="F155" s="1788"/>
      <c r="G155" s="1788"/>
      <c r="J155" s="338"/>
      <c r="K155" s="367"/>
      <c r="M155" s="1793"/>
      <c r="O155" s="1790"/>
      <c r="P155" s="339"/>
    </row>
    <row r="156" spans="1:16" s="329" customFormat="1" ht="12.6" customHeight="1">
      <c r="A156" s="545"/>
      <c r="B156" s="545" t="s">
        <v>779</v>
      </c>
      <c r="C156" s="1788" t="s">
        <v>1823</v>
      </c>
      <c r="D156" s="1788"/>
      <c r="E156" s="1788"/>
      <c r="F156" s="1788"/>
      <c r="G156" s="1788"/>
      <c r="I156" s="2539" t="s">
        <v>3157</v>
      </c>
      <c r="L156" s="299"/>
      <c r="M156" s="299"/>
      <c r="P156" s="339"/>
    </row>
    <row r="157" spans="1:16" s="329" customFormat="1" ht="6" customHeight="1">
      <c r="A157" s="545"/>
      <c r="B157" s="545"/>
      <c r="C157" s="334"/>
      <c r="E157" s="366"/>
      <c r="F157" s="366"/>
      <c r="G157" s="366"/>
      <c r="I157" s="366"/>
      <c r="J157" s="366"/>
      <c r="K157" s="1790"/>
      <c r="L157" s="366"/>
      <c r="M157" s="366"/>
      <c r="N157" s="1790"/>
      <c r="O157" s="366"/>
      <c r="P157" s="366"/>
    </row>
    <row r="158" spans="1:16" s="329" customFormat="1" ht="12.6" customHeight="1">
      <c r="A158" s="545"/>
      <c r="B158" s="545" t="s">
        <v>2193</v>
      </c>
      <c r="C158" s="1843" t="s">
        <v>2053</v>
      </c>
      <c r="D158" s="1843"/>
      <c r="E158" s="1843"/>
      <c r="F158" s="1843"/>
      <c r="G158" s="1788"/>
      <c r="I158" s="2539" t="s">
        <v>3154</v>
      </c>
      <c r="J158" s="369" t="s">
        <v>2869</v>
      </c>
      <c r="L158" s="1842" t="s">
        <v>4161</v>
      </c>
      <c r="M158" s="1842"/>
      <c r="N158" s="1788"/>
      <c r="O158" s="1788"/>
      <c r="P158" s="2569">
        <v>208</v>
      </c>
    </row>
    <row r="159" spans="1:16" s="329" customFormat="1" ht="12.6" customHeight="1">
      <c r="B159" s="545"/>
      <c r="L159" s="1838" t="s">
        <v>829</v>
      </c>
      <c r="M159" s="1838"/>
      <c r="N159" s="1788"/>
      <c r="O159" s="1788"/>
      <c r="P159" s="2569">
        <v>105</v>
      </c>
    </row>
    <row r="160" spans="1:16" s="329" customFormat="1" ht="12.6" customHeight="1">
      <c r="A160" s="545"/>
      <c r="B160" s="545"/>
      <c r="L160" s="1838" t="s">
        <v>1857</v>
      </c>
      <c r="M160" s="1838"/>
      <c r="N160" s="1788"/>
      <c r="O160" s="1788"/>
      <c r="P160" s="368">
        <f>IF(P158="","",P159/P158)</f>
        <v>0.50480769230769229</v>
      </c>
    </row>
    <row r="161" spans="1:21" s="329" customFormat="1" ht="13.15" customHeight="1">
      <c r="A161" s="545"/>
      <c r="B161" s="545" t="s">
        <v>1801</v>
      </c>
      <c r="C161" s="296" t="s">
        <v>1667</v>
      </c>
      <c r="D161" s="1782"/>
      <c r="E161" s="1782"/>
      <c r="F161" s="1782"/>
      <c r="G161" s="1782"/>
      <c r="H161" s="1790"/>
      <c r="J161" s="338"/>
      <c r="K161" s="346"/>
      <c r="M161" s="1793"/>
      <c r="O161" s="1790"/>
      <c r="P161" s="339"/>
    </row>
    <row r="162" spans="1:21" s="329" customFormat="1" ht="12.6" customHeight="1">
      <c r="A162" s="545"/>
      <c r="B162" s="545"/>
      <c r="C162" s="1793" t="s">
        <v>2291</v>
      </c>
      <c r="D162" s="340"/>
      <c r="E162" s="1793"/>
      <c r="F162" s="1793"/>
      <c r="I162" s="2539" t="s">
        <v>3157</v>
      </c>
      <c r="L162" s="1793" t="s">
        <v>1668</v>
      </c>
      <c r="M162" s="1793"/>
      <c r="N162" s="1793"/>
      <c r="P162" s="2539" t="s">
        <v>3157</v>
      </c>
    </row>
    <row r="163" spans="1:21" s="329" customFormat="1" ht="12.6" customHeight="1">
      <c r="A163" s="545"/>
      <c r="B163" s="545"/>
      <c r="C163" s="1793" t="s">
        <v>2292</v>
      </c>
      <c r="I163" s="2539" t="s">
        <v>3154</v>
      </c>
      <c r="L163" s="1793" t="s">
        <v>2985</v>
      </c>
      <c r="M163" s="1793"/>
      <c r="N163" s="1793"/>
      <c r="P163" s="2539" t="s">
        <v>3157</v>
      </c>
    </row>
    <row r="164" spans="1:21" s="329" customFormat="1" ht="12.6" customHeight="1">
      <c r="A164" s="545"/>
      <c r="C164" s="1793" t="s">
        <v>2829</v>
      </c>
      <c r="I164" s="2539" t="s">
        <v>3157</v>
      </c>
      <c r="L164" s="1793" t="s">
        <v>2791</v>
      </c>
      <c r="N164" s="2570"/>
      <c r="O164" s="2571"/>
      <c r="P164" s="2539"/>
    </row>
    <row r="165" spans="1:21" s="329" customFormat="1" ht="12.6" customHeight="1">
      <c r="A165" s="545"/>
      <c r="B165" s="545"/>
      <c r="C165" s="1793" t="s">
        <v>1332</v>
      </c>
      <c r="D165" s="370"/>
      <c r="I165" s="2539" t="s">
        <v>3157</v>
      </c>
      <c r="K165" s="340"/>
      <c r="L165" s="1793" t="s">
        <v>3754</v>
      </c>
      <c r="M165" s="1793"/>
      <c r="N165" s="1793"/>
      <c r="P165" s="2539" t="s">
        <v>3157</v>
      </c>
    </row>
    <row r="166" spans="1:21" s="329" customFormat="1" ht="12.6" customHeight="1">
      <c r="A166" s="545"/>
      <c r="B166" s="331"/>
      <c r="C166" s="1793" t="s">
        <v>1875</v>
      </c>
      <c r="I166" s="2539" t="s">
        <v>3157</v>
      </c>
      <c r="J166" s="369" t="s">
        <v>2870</v>
      </c>
      <c r="O166" s="2572"/>
      <c r="P166" s="2573"/>
    </row>
    <row r="167" spans="1:21" s="329" customFormat="1" ht="12.6" customHeight="1">
      <c r="A167" s="545"/>
      <c r="B167" s="545"/>
      <c r="C167" s="1793" t="s">
        <v>3047</v>
      </c>
      <c r="I167" s="2539" t="s">
        <v>3157</v>
      </c>
      <c r="J167" s="369" t="s">
        <v>2870</v>
      </c>
      <c r="O167" s="2572"/>
      <c r="P167" s="2573"/>
    </row>
    <row r="168" spans="1:21" s="329" customFormat="1" ht="3" customHeight="1">
      <c r="A168" s="545"/>
      <c r="B168" s="545"/>
      <c r="P168" s="338"/>
    </row>
    <row r="169" spans="1:21" s="329" customFormat="1" ht="13.15" customHeight="1">
      <c r="B169" s="545" t="s">
        <v>1802</v>
      </c>
      <c r="C169" s="335" t="s">
        <v>769</v>
      </c>
    </row>
    <row r="170" spans="1:21" s="329" customFormat="1" ht="12.6" customHeight="1">
      <c r="A170" s="545"/>
      <c r="B170" s="545"/>
      <c r="C170" s="334" t="s">
        <v>663</v>
      </c>
      <c r="D170" s="1782"/>
      <c r="E170" s="1782"/>
      <c r="F170" s="1790"/>
      <c r="G170" s="1790"/>
      <c r="H170" s="2531"/>
      <c r="I170" s="2532"/>
      <c r="N170" s="1793"/>
      <c r="O170" s="1793"/>
      <c r="P170" s="339"/>
    </row>
    <row r="171" spans="1:21" s="329" customFormat="1" ht="12.6" customHeight="1">
      <c r="A171" s="545"/>
      <c r="B171" s="545"/>
      <c r="C171" s="334" t="s">
        <v>288</v>
      </c>
      <c r="D171" s="1782"/>
      <c r="E171" s="1782"/>
      <c r="F171" s="1790"/>
      <c r="G171" s="1790"/>
      <c r="H171" s="2531">
        <v>43739</v>
      </c>
      <c r="I171" s="2532"/>
      <c r="N171" s="1793"/>
      <c r="O171" s="1793"/>
      <c r="P171" s="339"/>
    </row>
    <row r="172" spans="1:21" s="329" customFormat="1" ht="12.6" customHeight="1">
      <c r="A172" s="545"/>
      <c r="B172" s="545"/>
      <c r="C172" s="334" t="s">
        <v>2375</v>
      </c>
      <c r="D172" s="1782"/>
      <c r="E172" s="1782"/>
      <c r="F172" s="1790"/>
      <c r="G172" s="1790"/>
      <c r="H172" s="2531"/>
      <c r="I172" s="2532"/>
      <c r="N172" s="1793"/>
      <c r="O172" s="1793"/>
      <c r="P172" s="339"/>
    </row>
    <row r="173" spans="1:21" s="329" customFormat="1" ht="6" customHeight="1">
      <c r="B173" s="331"/>
      <c r="C173" s="1793"/>
      <c r="H173" s="1793"/>
      <c r="L173" s="348"/>
      <c r="M173" s="348"/>
      <c r="N173" s="348"/>
      <c r="O173" s="348"/>
      <c r="P173" s="336"/>
    </row>
    <row r="174" spans="1:21" ht="12" customHeight="1">
      <c r="A174" s="357" t="s">
        <v>2901</v>
      </c>
      <c r="C174" s="357" t="s">
        <v>593</v>
      </c>
      <c r="K174" s="357" t="s">
        <v>2331</v>
      </c>
      <c r="L174" s="357" t="s">
        <v>81</v>
      </c>
    </row>
    <row r="175" spans="1:21" ht="106.5" customHeight="1">
      <c r="A175" s="2574" t="s">
        <v>4372</v>
      </c>
      <c r="B175" s="2575"/>
      <c r="C175" s="2575"/>
      <c r="D175" s="2575"/>
      <c r="E175" s="2575"/>
      <c r="F175" s="2575"/>
      <c r="G175" s="2575"/>
      <c r="H175" s="2575"/>
      <c r="I175" s="2575"/>
      <c r="J175" s="2576"/>
      <c r="K175" s="2577"/>
      <c r="L175" s="2578"/>
      <c r="M175" s="2578"/>
      <c r="N175" s="2578"/>
      <c r="O175" s="2578"/>
      <c r="P175" s="2579"/>
      <c r="Q175" s="1837" t="s">
        <v>2796</v>
      </c>
      <c r="R175" s="1837"/>
      <c r="S175" s="1837"/>
      <c r="T175" s="1837"/>
      <c r="U175" s="1837"/>
    </row>
    <row r="176" spans="1:21" ht="12" customHeight="1">
      <c r="Q176" s="1837"/>
      <c r="R176" s="1837"/>
      <c r="S176" s="1837"/>
      <c r="T176" s="1837"/>
      <c r="U176" s="1837"/>
    </row>
    <row r="183" spans="1:44" s="562"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2" customFormat="1" ht="22.9" customHeight="1">
      <c r="A184" s="348"/>
      <c r="P184" s="433"/>
      <c r="Q184" s="348"/>
      <c r="T184" s="608"/>
      <c r="U184" s="607"/>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2" customFormat="1" ht="12" customHeight="1">
      <c r="A185" s="348"/>
      <c r="P185" s="314"/>
      <c r="Q185" s="348"/>
      <c r="T185" s="563"/>
      <c r="U185" s="56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2" customFormat="1" ht="12" customHeight="1">
      <c r="A186" s="348"/>
      <c r="P186" s="314"/>
      <c r="Q186" s="348"/>
      <c r="T186" s="563"/>
      <c r="U186" s="56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2" customFormat="1" ht="12" customHeight="1">
      <c r="A187" s="348"/>
      <c r="P187" s="314"/>
      <c r="Q187" s="348"/>
      <c r="T187" s="563"/>
      <c r="U187" s="56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2" customFormat="1" ht="12" customHeight="1">
      <c r="A188" s="348"/>
      <c r="P188" s="314"/>
      <c r="Q188" s="348"/>
      <c r="T188" s="563"/>
      <c r="U188" s="56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2" customFormat="1" ht="12" customHeight="1">
      <c r="A189" s="348"/>
      <c r="P189" s="314"/>
      <c r="Q189" s="348"/>
      <c r="T189" s="563"/>
      <c r="U189" s="56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2" customFormat="1" ht="12" customHeight="1">
      <c r="A190" s="348"/>
      <c r="P190" s="314"/>
      <c r="Q190" s="348"/>
      <c r="T190" s="563"/>
      <c r="U190" s="56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2" customFormat="1" ht="12" customHeight="1">
      <c r="A191" s="348"/>
      <c r="P191" s="314"/>
      <c r="Q191" s="348"/>
      <c r="T191" s="563"/>
      <c r="U191" s="563"/>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2" customFormat="1" ht="12" customHeight="1">
      <c r="A192" s="348"/>
      <c r="P192" s="314"/>
      <c r="Q192" s="258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2" customFormat="1" ht="12" customHeight="1">
      <c r="A193" s="348"/>
      <c r="P193" s="314"/>
      <c r="Q193" s="258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2" customFormat="1" ht="12" customHeight="1">
      <c r="A194" s="348"/>
      <c r="P194" s="314"/>
      <c r="Q194" s="258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2" customFormat="1" ht="12" customHeight="1">
      <c r="A195" s="348"/>
      <c r="P195" s="314"/>
      <c r="Q195" s="258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2" customFormat="1" ht="12" customHeight="1">
      <c r="A196" s="348"/>
      <c r="P196" s="314"/>
      <c r="Q196" s="258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2" customFormat="1" ht="12" customHeight="1">
      <c r="A197" s="348"/>
      <c r="P197" s="314"/>
      <c r="Q197" s="258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2" customFormat="1" ht="12" customHeight="1">
      <c r="A198" s="348"/>
      <c r="P198" s="314"/>
      <c r="Q198" s="258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2" customFormat="1" ht="12" customHeight="1">
      <c r="A199" s="348"/>
      <c r="P199" s="314"/>
      <c r="Q199" s="258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2" customFormat="1" ht="12" customHeight="1">
      <c r="A200" s="348"/>
      <c r="P200" s="314"/>
      <c r="Q200" s="258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2" customFormat="1" ht="12" customHeight="1">
      <c r="A201" s="348"/>
      <c r="P201" s="314"/>
      <c r="Q201" s="258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2" customFormat="1" ht="12" customHeight="1">
      <c r="A202" s="348"/>
      <c r="P202" s="314"/>
      <c r="Q202" s="258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2" customFormat="1" ht="12" customHeight="1">
      <c r="A203" s="348"/>
      <c r="P203" s="314"/>
      <c r="Q203" s="258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2" customFormat="1" ht="12" customHeight="1">
      <c r="A204" s="348"/>
      <c r="P204" s="314"/>
      <c r="Q204" s="258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2" customFormat="1" ht="12" customHeight="1">
      <c r="A205" s="348"/>
      <c r="P205" s="314"/>
      <c r="Q205" s="258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2" customFormat="1" ht="12" customHeight="1">
      <c r="A206" s="348"/>
      <c r="P206" s="314"/>
      <c r="Q206" s="258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2" customFormat="1" ht="12" customHeight="1">
      <c r="A207" s="348"/>
      <c r="P207" s="314"/>
      <c r="Q207" s="258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2" customFormat="1" ht="12" customHeight="1">
      <c r="A208" s="348"/>
      <c r="P208" s="314"/>
      <c r="Q208" s="258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2" customFormat="1" ht="12" customHeight="1">
      <c r="A209" s="348"/>
      <c r="P209" s="314"/>
      <c r="Q209" s="258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2" customFormat="1" ht="12" customHeight="1">
      <c r="A210" s="348"/>
      <c r="P210" s="314"/>
      <c r="Q210" s="2580"/>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2" customFormat="1" ht="12" customHeight="1">
      <c r="A211" s="348"/>
      <c r="P211" s="2581"/>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2" customFormat="1" ht="12" customHeight="1">
      <c r="A212" s="348"/>
      <c r="P212" s="314"/>
      <c r="Q212" s="258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2" customFormat="1" ht="12" customHeight="1">
      <c r="A213" s="348"/>
      <c r="P213" s="314"/>
      <c r="Q213" s="258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2" customFormat="1" ht="12" customHeight="1">
      <c r="A214" s="348"/>
      <c r="P214" s="314"/>
      <c r="Q214" s="2580"/>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2" customFormat="1" ht="12" customHeight="1">
      <c r="A215" s="348"/>
      <c r="P215" s="2581"/>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2" customFormat="1" ht="12" customHeight="1">
      <c r="A216" s="348"/>
      <c r="P216" s="314"/>
      <c r="Q216" s="258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2" customFormat="1" ht="12" customHeight="1">
      <c r="A217" s="348"/>
      <c r="P217" s="314"/>
      <c r="Q217" s="258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2" customFormat="1" ht="12" customHeight="1">
      <c r="A218" s="348"/>
      <c r="P218" s="314"/>
      <c r="Q218" s="258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2" customFormat="1" ht="12" customHeight="1">
      <c r="A219" s="348"/>
      <c r="P219" s="314"/>
      <c r="Q219" s="258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2" customFormat="1" ht="12" customHeight="1">
      <c r="A220" s="348"/>
      <c r="P220" s="314"/>
      <c r="Q220" s="258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2" customFormat="1" ht="12" customHeight="1">
      <c r="A221" s="348"/>
      <c r="P221" s="314"/>
      <c r="Q221" s="258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2" customFormat="1" ht="12" customHeight="1">
      <c r="A222" s="348"/>
      <c r="P222" s="314"/>
      <c r="Q222" s="258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2" customFormat="1" ht="12" customHeight="1">
      <c r="A223" s="348"/>
      <c r="P223" s="314"/>
      <c r="Q223" s="258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2" customFormat="1" ht="12" customHeight="1">
      <c r="A224" s="348"/>
      <c r="P224" s="314"/>
      <c r="Q224" s="258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2" customFormat="1" ht="12" customHeight="1">
      <c r="A225" s="348"/>
      <c r="P225" s="314"/>
      <c r="Q225" s="258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2" customFormat="1" ht="12" customHeight="1">
      <c r="A226" s="348"/>
      <c r="P226" s="314"/>
      <c r="Q226" s="258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2" customFormat="1" ht="12" customHeight="1">
      <c r="A227" s="348"/>
      <c r="P227" s="314"/>
      <c r="Q227" s="258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2" customFormat="1" ht="12" customHeight="1">
      <c r="A228" s="348"/>
      <c r="P228" s="314"/>
      <c r="Q228" s="2580"/>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2" customFormat="1" ht="12" customHeight="1">
      <c r="A229" s="348"/>
      <c r="P229" s="2582"/>
      <c r="Q229" s="2580"/>
      <c r="R229" s="1305"/>
      <c r="S229" s="1305"/>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2" customFormat="1" ht="12" customHeight="1">
      <c r="A230" s="348"/>
      <c r="P230" s="314"/>
      <c r="Q230" s="2580"/>
      <c r="R230" s="1305"/>
      <c r="S230" s="1305"/>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2" customFormat="1" ht="12" customHeight="1">
      <c r="A231" s="348"/>
      <c r="P231" s="314"/>
      <c r="Q231" s="2580"/>
      <c r="R231" s="1305"/>
      <c r="S231" s="1305"/>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2" customFormat="1" ht="12" customHeight="1">
      <c r="A232" s="348"/>
      <c r="P232" s="314"/>
      <c r="Q232" s="2580"/>
      <c r="R232" s="1305"/>
      <c r="S232" s="1305"/>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2"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2" customFormat="1" ht="12" customHeight="1">
      <c r="A234" s="348"/>
      <c r="P234" s="2581"/>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2" customFormat="1" ht="12" customHeight="1">
      <c r="A235" s="348"/>
      <c r="P235" s="314"/>
      <c r="Q235" s="258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2" customFormat="1" ht="12" customHeight="1">
      <c r="A236" s="348"/>
      <c r="P236" s="314"/>
      <c r="Q236" s="258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2" customFormat="1" ht="12" customHeight="1">
      <c r="A237" s="348"/>
      <c r="P237" s="2582"/>
      <c r="Q237" s="258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2" customFormat="1" ht="12" customHeight="1">
      <c r="A238" s="348"/>
      <c r="P238" s="314"/>
      <c r="Q238" s="258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2" customFormat="1" ht="12" customHeight="1">
      <c r="A239" s="348"/>
      <c r="P239" s="314"/>
      <c r="Q239" s="258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2" customFormat="1" ht="12" customHeight="1">
      <c r="A240" s="348"/>
      <c r="P240" s="314"/>
      <c r="Q240" s="258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2" customFormat="1" ht="12" customHeight="1">
      <c r="A241" s="348"/>
      <c r="P241" s="314"/>
      <c r="Q241" s="258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2" customFormat="1" ht="12" customHeight="1">
      <c r="A242" s="348"/>
      <c r="P242" s="314"/>
      <c r="Q242" s="258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2" customFormat="1" ht="12" customHeight="1">
      <c r="A243" s="348"/>
      <c r="P243" s="314"/>
      <c r="Q243" s="258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2" customFormat="1" ht="12" customHeight="1">
      <c r="A244" s="348"/>
      <c r="P244" s="314"/>
      <c r="Q244" s="258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2" customFormat="1" ht="12" customHeight="1">
      <c r="A245" s="348"/>
      <c r="P245" s="2582"/>
      <c r="Q245" s="258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2" customFormat="1" ht="12" customHeight="1">
      <c r="A246" s="348"/>
      <c r="P246" s="314"/>
      <c r="Q246" s="258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2" customFormat="1" ht="12" customHeight="1">
      <c r="A247" s="348"/>
      <c r="P247" s="314"/>
      <c r="Q247" s="258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2" customFormat="1" ht="12" customHeight="1">
      <c r="A248" s="348"/>
      <c r="P248" s="314"/>
      <c r="Q248" s="258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2" customFormat="1" ht="12" customHeight="1">
      <c r="A249" s="348"/>
      <c r="P249" s="314"/>
      <c r="Q249" s="258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2" customFormat="1" ht="12" customHeight="1">
      <c r="A250" s="348"/>
      <c r="P250" s="314"/>
      <c r="Q250" s="258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2" customFormat="1" ht="12" customHeight="1">
      <c r="A251" s="348"/>
      <c r="P251" s="314"/>
      <c r="Q251" s="258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2" customFormat="1" ht="12" customHeight="1">
      <c r="A252" s="348"/>
      <c r="P252" s="314"/>
      <c r="Q252" s="258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2" customFormat="1" ht="12" customHeight="1">
      <c r="A253" s="348"/>
      <c r="P253" s="314"/>
      <c r="Q253" s="258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2" customFormat="1" ht="12" customHeight="1">
      <c r="A254" s="348"/>
      <c r="P254" s="314"/>
      <c r="Q254" s="258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2" customFormat="1" ht="12" customHeight="1">
      <c r="A255" s="348"/>
      <c r="P255" s="314"/>
      <c r="Q255" s="258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2" customFormat="1" ht="12" customHeight="1">
      <c r="A256" s="348"/>
      <c r="P256" s="314"/>
      <c r="Q256" s="258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2" customFormat="1" ht="12" customHeight="1">
      <c r="A257" s="348"/>
      <c r="P257" s="314"/>
      <c r="Q257" s="258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2" customFormat="1" ht="12" customHeight="1">
      <c r="A258" s="348"/>
      <c r="P258" s="314"/>
      <c r="Q258" s="258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2" customFormat="1" ht="12" customHeight="1">
      <c r="A259" s="348"/>
      <c r="P259" s="314"/>
      <c r="Q259" s="258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2" customFormat="1" ht="12" customHeight="1">
      <c r="A260" s="348"/>
      <c r="P260" s="611"/>
      <c r="Q260" s="258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2" customFormat="1" ht="12" customHeight="1">
      <c r="A261" s="348"/>
      <c r="P261" s="314"/>
      <c r="Q261" s="258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2" customFormat="1" ht="12" customHeight="1">
      <c r="A262" s="348"/>
      <c r="P262" s="314"/>
      <c r="Q262" s="258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2" customFormat="1" ht="12" customHeight="1">
      <c r="A263" s="348"/>
      <c r="P263" s="314"/>
      <c r="Q263" s="258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2" customFormat="1" ht="12" customHeight="1">
      <c r="A264" s="348"/>
      <c r="P264" s="314"/>
      <c r="Q264" s="258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2" customFormat="1" ht="12" customHeight="1">
      <c r="A265" s="348"/>
      <c r="P265" s="314"/>
      <c r="Q265" s="258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2" customFormat="1" ht="12" customHeight="1">
      <c r="A266" s="348"/>
      <c r="P266" s="314"/>
      <c r="Q266" s="258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2" customFormat="1" ht="12" customHeight="1">
      <c r="A267" s="348"/>
      <c r="P267" s="314"/>
      <c r="Q267" s="258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2" customFormat="1" ht="12" customHeight="1">
      <c r="A268" s="348"/>
      <c r="P268" s="314"/>
      <c r="Q268" s="258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2" customFormat="1" ht="12" customHeight="1">
      <c r="A269" s="348"/>
      <c r="P269" s="314"/>
      <c r="Q269" s="258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2" customFormat="1" ht="12" customHeight="1">
      <c r="A270" s="348"/>
      <c r="P270" s="314"/>
      <c r="Q270" s="258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2" customFormat="1" ht="12" customHeight="1">
      <c r="A271" s="348"/>
      <c r="P271" s="314"/>
      <c r="Q271" s="258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2" customFormat="1" ht="12" customHeight="1">
      <c r="A272" s="348"/>
      <c r="P272" s="314"/>
      <c r="Q272" s="258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2" customFormat="1" ht="12" customHeight="1">
      <c r="A273" s="348"/>
      <c r="P273" s="314"/>
      <c r="Q273" s="258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2" customFormat="1" ht="12" customHeight="1">
      <c r="A274" s="348"/>
      <c r="P274" s="314"/>
      <c r="Q274" s="258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2" customFormat="1" ht="12" customHeight="1">
      <c r="A275" s="348"/>
      <c r="P275" s="314"/>
      <c r="Q275" s="258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2" customFormat="1" ht="12" customHeight="1">
      <c r="A276" s="348"/>
      <c r="P276" s="314"/>
      <c r="Q276" s="258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2" customFormat="1" ht="12" customHeight="1">
      <c r="A277" s="348"/>
      <c r="P277" s="314"/>
      <c r="Q277" s="258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2" customFormat="1" ht="12" customHeight="1">
      <c r="A278" s="348"/>
      <c r="P278" s="314"/>
      <c r="Q278" s="258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2" customFormat="1" ht="12" customHeight="1">
      <c r="A279" s="348"/>
      <c r="P279" s="314"/>
      <c r="Q279" s="258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2" customFormat="1" ht="12" customHeight="1">
      <c r="A280" s="348"/>
      <c r="P280" s="314"/>
      <c r="Q280" s="258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2" customFormat="1" ht="12" customHeight="1">
      <c r="A281" s="348"/>
      <c r="P281" s="314"/>
      <c r="Q281" s="258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2" customFormat="1" ht="12" customHeight="1">
      <c r="A282" s="348"/>
      <c r="P282" s="314"/>
      <c r="Q282" s="258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2" customFormat="1" ht="12" customHeight="1">
      <c r="A283" s="348"/>
      <c r="P283" s="314"/>
      <c r="Q283" s="258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2" customFormat="1" ht="12" customHeight="1">
      <c r="A284" s="348"/>
      <c r="P284" s="314"/>
      <c r="Q284" s="258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2" customFormat="1" ht="12" customHeight="1">
      <c r="A285" s="348"/>
      <c r="P285" s="314"/>
      <c r="Q285" s="258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2" customFormat="1" ht="12" customHeight="1">
      <c r="A286" s="348"/>
      <c r="P286" s="314"/>
      <c r="Q286" s="258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2" customFormat="1" ht="12" customHeight="1">
      <c r="A287" s="348"/>
      <c r="P287" s="2582"/>
      <c r="Q287" s="258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2" customFormat="1" ht="12" customHeight="1">
      <c r="A288" s="348"/>
      <c r="P288" s="314"/>
      <c r="Q288" s="258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2" customFormat="1" ht="12" customHeight="1">
      <c r="A289" s="348"/>
      <c r="P289" s="314"/>
      <c r="Q289" s="258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2" customFormat="1" ht="12" customHeight="1">
      <c r="A290" s="348"/>
      <c r="P290" s="314"/>
      <c r="Q290" s="258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2" customFormat="1" ht="12" customHeight="1">
      <c r="A291" s="348"/>
      <c r="P291" s="314"/>
      <c r="Q291" s="258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2" customFormat="1" ht="12" customHeight="1">
      <c r="A292" s="348"/>
      <c r="P292" s="314"/>
      <c r="Q292" s="258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2" customFormat="1" ht="12" customHeight="1">
      <c r="A293" s="348"/>
      <c r="P293" s="314"/>
      <c r="Q293" s="258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2" customFormat="1" ht="12" customHeight="1">
      <c r="A294" s="348"/>
      <c r="P294" s="314"/>
      <c r="Q294" s="258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2" customFormat="1" ht="12" customHeight="1">
      <c r="A295" s="348"/>
      <c r="P295" s="314"/>
      <c r="Q295" s="258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2" customFormat="1" ht="12" customHeight="1">
      <c r="A296" s="348"/>
      <c r="P296" s="314"/>
      <c r="Q296" s="258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2" customFormat="1" ht="12" customHeight="1">
      <c r="A297" s="348"/>
      <c r="P297" s="314"/>
      <c r="Q297" s="2580"/>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2"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2" customFormat="1" ht="12" customHeight="1">
      <c r="A299" s="348"/>
      <c r="P299" s="314"/>
      <c r="Q299" s="258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2" customFormat="1" ht="12" customHeight="1">
      <c r="A300" s="348"/>
      <c r="P300" s="314"/>
      <c r="Q300" s="258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2" customFormat="1" ht="12" customHeight="1">
      <c r="A301" s="348"/>
      <c r="P301" s="314"/>
      <c r="Q301" s="2580"/>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2" customFormat="1" ht="12" customHeight="1">
      <c r="A302" s="348"/>
      <c r="P302" s="2581"/>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2" customFormat="1" ht="12" customHeight="1">
      <c r="A303" s="348"/>
      <c r="P303" s="314"/>
      <c r="Q303" s="258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2" customFormat="1" ht="12" customHeight="1">
      <c r="A304" s="348"/>
      <c r="P304" s="314"/>
      <c r="Q304" s="258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2" customFormat="1" ht="12" customHeight="1">
      <c r="A305" s="348"/>
      <c r="P305" s="314"/>
      <c r="Q305" s="2580"/>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2" customFormat="1" ht="12" customHeight="1">
      <c r="A306" s="348"/>
      <c r="P306" s="2581"/>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2" customFormat="1" ht="12" customHeight="1">
      <c r="A307" s="348"/>
      <c r="P307" s="314"/>
      <c r="Q307" s="258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2" customFormat="1" ht="12" customHeight="1">
      <c r="A308" s="348"/>
      <c r="P308" s="314"/>
      <c r="Q308" s="2580"/>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2"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2" customFormat="1" ht="12" customHeight="1">
      <c r="A310" s="348"/>
      <c r="P310" s="2582"/>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2" customFormat="1" ht="12" customHeight="1">
      <c r="A311" s="348"/>
      <c r="P311" s="314"/>
      <c r="Q311" s="258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2" customFormat="1" ht="12" customHeight="1">
      <c r="A312" s="348"/>
      <c r="P312" s="314"/>
      <c r="Q312" s="258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2" customFormat="1" ht="12" customHeight="1">
      <c r="A313" s="348"/>
      <c r="P313" s="314"/>
      <c r="Q313" s="2580"/>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2" customFormat="1" ht="12" customHeight="1">
      <c r="A314" s="348"/>
      <c r="P314" s="2581"/>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2" customFormat="1" ht="12" customHeight="1">
      <c r="A315" s="348"/>
      <c r="P315" s="314"/>
      <c r="Q315" s="258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2" customFormat="1" ht="12" customHeight="1">
      <c r="A316" s="348"/>
      <c r="P316" s="2582"/>
      <c r="Q316" s="2580"/>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2"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2" customFormat="1" ht="12" customHeight="1">
      <c r="A318" s="348"/>
      <c r="P318" s="314"/>
      <c r="Q318" s="258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2" customFormat="1" ht="12" customHeight="1">
      <c r="A319" s="348"/>
      <c r="P319" s="314"/>
      <c r="Q319" s="258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2" customFormat="1" ht="12" customHeight="1">
      <c r="A320" s="348"/>
      <c r="P320" s="314"/>
      <c r="Q320" s="2580"/>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2"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2" customFormat="1" ht="12" customHeight="1">
      <c r="A322" s="348"/>
      <c r="P322" s="2581"/>
      <c r="Q322" s="258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2" customFormat="1" ht="12" customHeight="1">
      <c r="A323" s="348"/>
      <c r="P323" s="314"/>
      <c r="Q323" s="258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2" customFormat="1" ht="12" customHeight="1">
      <c r="A324" s="348"/>
      <c r="P324" s="314"/>
      <c r="Q324" s="258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2" customFormat="1" ht="12" customHeight="1">
      <c r="A325" s="348"/>
      <c r="P325" s="314"/>
      <c r="Q325" s="258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2" customFormat="1" ht="12" customHeight="1">
      <c r="A326" s="348"/>
      <c r="P326" s="314"/>
      <c r="Q326" s="258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2" customFormat="1" ht="12" customHeight="1">
      <c r="A327" s="348"/>
      <c r="P327" s="314"/>
      <c r="Q327" s="258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2" customFormat="1" ht="12" customHeight="1">
      <c r="A328" s="348"/>
      <c r="P328" s="314"/>
      <c r="Q328" s="258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2" customFormat="1" ht="12" customHeight="1">
      <c r="A329" s="348"/>
      <c r="P329" s="314"/>
      <c r="Q329" s="258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2" customFormat="1" ht="12" customHeight="1">
      <c r="A330" s="348"/>
      <c r="P330" s="314"/>
      <c r="Q330" s="258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2" customFormat="1" ht="12" customHeight="1">
      <c r="A331" s="348"/>
      <c r="P331" s="314"/>
      <c r="Q331" s="258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2" customFormat="1" ht="12" customHeight="1">
      <c r="A332" s="348"/>
      <c r="P332" s="314"/>
      <c r="Q332" s="258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2" customFormat="1" ht="12" customHeight="1">
      <c r="A333" s="348"/>
      <c r="P333" s="314"/>
      <c r="Q333" s="258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2" customFormat="1" ht="12" customHeight="1">
      <c r="A334" s="348"/>
      <c r="P334" s="314"/>
      <c r="Q334" s="258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2" customFormat="1" ht="12" customHeight="1">
      <c r="A335" s="348"/>
      <c r="P335" s="314"/>
      <c r="Q335" s="258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2" customFormat="1" ht="12" customHeight="1">
      <c r="A336" s="348"/>
      <c r="P336" s="314"/>
      <c r="Q336" s="258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2" customFormat="1" ht="12" customHeight="1">
      <c r="A337" s="348"/>
      <c r="P337" s="314"/>
      <c r="Q337" s="258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2" customFormat="1" ht="12" customHeight="1">
      <c r="A338" s="348"/>
      <c r="P338" s="314"/>
      <c r="Q338" s="258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2" customFormat="1" ht="12" customHeight="1">
      <c r="A339" s="348"/>
      <c r="P339" s="314"/>
      <c r="Q339" s="258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2" customFormat="1" ht="12" customHeight="1">
      <c r="A340" s="348"/>
      <c r="P340" s="2582"/>
      <c r="Q340" s="258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2" customFormat="1" ht="12" customHeight="1">
      <c r="A341" s="348"/>
      <c r="P341" s="314"/>
      <c r="Q341" s="2580"/>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2" customFormat="1" ht="12" customHeight="1">
      <c r="A342" s="348"/>
      <c r="P342" s="314"/>
      <c r="Q342" s="2580"/>
      <c r="R342" s="1305"/>
      <c r="S342" s="1305"/>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2" customFormat="1" ht="12" customHeight="1">
      <c r="A343" s="348"/>
      <c r="P343" s="314"/>
      <c r="Q343" s="2580"/>
      <c r="R343" s="1305"/>
      <c r="S343" s="1305"/>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2" customFormat="1" ht="12" customHeight="1">
      <c r="A344" s="348"/>
      <c r="P344" s="314"/>
      <c r="Q344" s="2580"/>
      <c r="R344" s="1305"/>
      <c r="S344" s="1305"/>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2" customFormat="1" ht="12" customHeight="1">
      <c r="A345" s="348"/>
      <c r="P345" s="314"/>
      <c r="Q345" s="348"/>
      <c r="R345" s="1305"/>
      <c r="S345" s="1305"/>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2" customFormat="1" ht="12" customHeight="1">
      <c r="A346" s="348"/>
      <c r="P346" s="2582"/>
      <c r="Q346" s="348"/>
      <c r="R346" s="1305"/>
      <c r="S346" s="1305"/>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2" customFormat="1" ht="12" customHeight="1">
      <c r="A347" s="348"/>
      <c r="P347" s="314"/>
      <c r="R347" s="1305"/>
      <c r="S347" s="1305"/>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2" customFormat="1" ht="12" customHeight="1">
      <c r="A348" s="348"/>
      <c r="P348" s="314"/>
      <c r="R348" s="1305"/>
      <c r="S348" s="1305"/>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2"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2"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2"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2"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2" customFormat="1" ht="12" customHeight="1">
      <c r="A353" s="348"/>
      <c r="P353" s="2582"/>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2"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2"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2"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2"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2"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2"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2"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2" customFormat="1" ht="12" customHeight="1">
      <c r="A361" s="348"/>
      <c r="P361" s="258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2" customFormat="1" ht="12" customHeight="1">
      <c r="A362" s="348"/>
      <c r="P362" s="258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2"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2"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2"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2"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2"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2"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2"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2"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2"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2"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2"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2"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2"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2"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2" customFormat="1" ht="12" customHeight="1">
      <c r="A377" s="348"/>
      <c r="P377" s="258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2" customFormat="1" ht="12" customHeight="1">
      <c r="A378" s="348"/>
      <c r="P378" s="258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2" customFormat="1" ht="12" customHeight="1">
      <c r="A379" s="348"/>
      <c r="P379" s="258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2"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2"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2" customFormat="1" ht="12" customHeight="1">
      <c r="A382" s="348"/>
      <c r="P382" s="258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2"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2"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2"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2"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2"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2"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2"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2"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2"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2"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2"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2" customFormat="1" ht="12" customHeight="1">
      <c r="A394" s="348"/>
      <c r="P394" s="258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2"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2"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2"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2"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2"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2"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2"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2"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2"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2" customFormat="1" ht="12" customHeight="1">
      <c r="A404" s="348"/>
      <c r="P404" s="2581"/>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2"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2"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2"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2"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2"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2"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2"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2"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2"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2"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2"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2"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2"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2" customFormat="1" ht="12" customHeight="1">
      <c r="A418" s="348"/>
      <c r="P418" s="258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2"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2"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2"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2" customFormat="1" ht="12" customHeight="1">
      <c r="A422" s="348"/>
      <c r="P422" s="258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2"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2"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2"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2"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2"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2" customFormat="1" ht="12" customHeight="1">
      <c r="A428" s="348"/>
      <c r="P428" s="258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2"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2"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2"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2"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2"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2"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2"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2"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2"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2"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2"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2"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2" customFormat="1" ht="12" customHeight="1">
      <c r="A441" s="348"/>
      <c r="P441" s="258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2"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2"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2"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2"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2"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2"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2"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2"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2"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2"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2"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2"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2"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2" customFormat="1" ht="12" customHeight="1">
      <c r="A455" s="348"/>
      <c r="P455" s="258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2"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2" customFormat="1" ht="12" customHeight="1">
      <c r="A457" s="348"/>
      <c r="P457" s="258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2"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2" customFormat="1" ht="12" customHeight="1">
      <c r="A459" s="348"/>
      <c r="P459" s="258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2"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2"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2"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2"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2"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2"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2"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2"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2"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2"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2"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2"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2"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2"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2"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2" customFormat="1" ht="12" customHeight="1">
      <c r="A475" s="348"/>
      <c r="P475" s="258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2"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2"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2"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2"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2"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2"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2"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2"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2" customFormat="1" ht="12" customHeight="1">
      <c r="A484" s="348"/>
      <c r="P484" s="258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2" customFormat="1" ht="12" customHeight="1">
      <c r="A485" s="348"/>
      <c r="P485" s="258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2"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2"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2"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2"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2"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2"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2"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2"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2"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2" customFormat="1" ht="12" customHeight="1">
      <c r="A495" s="348"/>
      <c r="P495" s="258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2"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2" customFormat="1" ht="12" customHeight="1">
      <c r="A497" s="348"/>
      <c r="P497" s="258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2" customFormat="1" ht="12" customHeight="1">
      <c r="A498" s="348"/>
      <c r="P498" s="2581"/>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2"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2"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2"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2"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2"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2"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2"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2"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2"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2"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2"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2"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2"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2"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2" customFormat="1" ht="12" customHeight="1">
      <c r="A513" s="348"/>
      <c r="P513" s="258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2"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2"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2"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2"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2"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2"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2"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2"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2" customFormat="1" ht="12" customHeight="1">
      <c r="A522" s="348"/>
      <c r="P522" s="258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2"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2"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2"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2"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2"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2"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2"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2"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2"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2"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2"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2"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2"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2"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2"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2"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2"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2" customFormat="1" ht="12" customHeight="1">
      <c r="A540" s="348"/>
      <c r="P540" s="2581"/>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2"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2"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2"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2"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2" customFormat="1" ht="12" customHeight="1">
      <c r="A545" s="348"/>
      <c r="P545" s="258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2"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2"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2" customFormat="1" ht="12" customHeight="1">
      <c r="A548" s="348"/>
      <c r="P548" s="258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2"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2"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2"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2"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2"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2"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2"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2"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2"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2"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2"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2" customFormat="1" ht="12" customHeight="1">
      <c r="A560" s="348"/>
      <c r="P560" s="258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2"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2"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2" customFormat="1" ht="12" customHeight="1">
      <c r="A563" s="348"/>
      <c r="P563" s="2581"/>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2"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2"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2"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2"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2"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2"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2"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2"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2"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2" customFormat="1" ht="12" customHeight="1">
      <c r="A573" s="348"/>
      <c r="P573" s="258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2" customFormat="1" ht="12" customHeight="1">
      <c r="A574" s="348"/>
      <c r="P574" s="258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2" customFormat="1" ht="12" customHeight="1">
      <c r="A575" s="348"/>
      <c r="P575" s="258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2"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2"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2"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2"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2"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2"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2"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2"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2"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2"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2"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2"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2" customFormat="1" ht="12" customHeight="1">
      <c r="A588" s="348"/>
      <c r="P588" s="2581"/>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2"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2"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2"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2"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2" customFormat="1" ht="12" customHeight="1">
      <c r="A593" s="348"/>
      <c r="P593" s="258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2"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2"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2"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2"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2"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2"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2"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2"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2" customFormat="1" ht="12" customHeight="1">
      <c r="A602" s="348"/>
      <c r="P602" s="433"/>
      <c r="R602" s="1305" t="s">
        <v>96</v>
      </c>
      <c r="S602" s="1305" t="s">
        <v>98</v>
      </c>
      <c r="T602" s="1305"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2" customFormat="1" ht="12" customHeight="1">
      <c r="A603" s="348"/>
      <c r="P603" s="433"/>
      <c r="R603" s="1305" t="s">
        <v>2649</v>
      </c>
      <c r="S603" s="1305" t="s">
        <v>652</v>
      </c>
      <c r="T603" s="2583"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2" customFormat="1" ht="12" customHeight="1">
      <c r="A604" s="348"/>
      <c r="P604" s="2582"/>
      <c r="R604" s="1305" t="s">
        <v>2650</v>
      </c>
      <c r="S604" s="1305" t="s">
        <v>332</v>
      </c>
      <c r="T604" s="2583"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2" customFormat="1" ht="12" customHeight="1">
      <c r="A605" s="348"/>
      <c r="P605" s="433"/>
      <c r="R605" s="1305" t="s">
        <v>2651</v>
      </c>
      <c r="S605" s="1305" t="s">
        <v>2569</v>
      </c>
      <c r="T605" s="2583"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2" customFormat="1" ht="12" customHeight="1">
      <c r="A606" s="348"/>
      <c r="P606" s="433"/>
      <c r="R606" s="1305" t="s">
        <v>2652</v>
      </c>
      <c r="S606" s="1305"/>
      <c r="T606" s="2583"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2" customFormat="1" ht="12" customHeight="1">
      <c r="A607" s="348"/>
      <c r="P607" s="433"/>
      <c r="R607" s="1305" t="s">
        <v>2653</v>
      </c>
      <c r="S607" s="1305" t="s">
        <v>2083</v>
      </c>
      <c r="T607" s="2583"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2" customFormat="1" ht="12" customHeight="1">
      <c r="A608" s="348"/>
      <c r="P608" s="433"/>
      <c r="R608" s="1305" t="s">
        <v>2654</v>
      </c>
      <c r="S608" s="1305" t="s">
        <v>2569</v>
      </c>
      <c r="T608" s="2583"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2" customFormat="1" ht="12" customHeight="1">
      <c r="A609" s="348"/>
      <c r="P609" s="433"/>
      <c r="R609" s="1305" t="s">
        <v>2655</v>
      </c>
      <c r="S609" s="1305" t="s">
        <v>1376</v>
      </c>
      <c r="T609" s="2583"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2" customFormat="1" ht="12" customHeight="1">
      <c r="A610" s="348"/>
      <c r="P610" s="433"/>
      <c r="R610" s="1305" t="s">
        <v>2656</v>
      </c>
      <c r="S610" s="1305" t="s">
        <v>2085</v>
      </c>
      <c r="T610" s="2583"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2" customFormat="1" ht="12" customHeight="1">
      <c r="A611" s="348"/>
      <c r="P611" s="433"/>
      <c r="R611" s="1305" t="s">
        <v>2657</v>
      </c>
      <c r="S611" s="1305" t="s">
        <v>692</v>
      </c>
      <c r="T611" s="2583"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2" customFormat="1" ht="12" customHeight="1">
      <c r="A612" s="348"/>
      <c r="P612" s="433"/>
      <c r="R612" s="1305" t="s">
        <v>2658</v>
      </c>
      <c r="S612" s="1305" t="s">
        <v>652</v>
      </c>
      <c r="T612" s="2583"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2" customFormat="1" ht="12" customHeight="1">
      <c r="A613" s="348"/>
      <c r="P613" s="433"/>
      <c r="R613" s="1305" t="s">
        <v>2659</v>
      </c>
      <c r="S613" s="1305" t="s">
        <v>2251</v>
      </c>
      <c r="T613" s="2583"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2" customFormat="1" ht="12" customHeight="1">
      <c r="A614" s="348"/>
      <c r="P614" s="433"/>
      <c r="R614" s="1305" t="s">
        <v>2660</v>
      </c>
      <c r="S614" s="1305" t="s">
        <v>2619</v>
      </c>
      <c r="T614" s="2583"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2" customFormat="1" ht="12" customHeight="1">
      <c r="A615" s="348"/>
      <c r="P615" s="433"/>
      <c r="R615" s="1305" t="s">
        <v>2324</v>
      </c>
      <c r="S615" s="1305" t="s">
        <v>2616</v>
      </c>
      <c r="T615" s="2583"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2" customFormat="1" ht="12" customHeight="1">
      <c r="A616" s="348"/>
      <c r="P616" s="433"/>
      <c r="R616" s="1305" t="s">
        <v>2661</v>
      </c>
      <c r="S616" s="1305" t="s">
        <v>2251</v>
      </c>
      <c r="T616" s="2583"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2" customFormat="1" ht="12" customHeight="1">
      <c r="A617" s="348"/>
      <c r="P617" s="433"/>
      <c r="R617" s="1305" t="s">
        <v>2662</v>
      </c>
      <c r="S617" s="1305" t="s">
        <v>2572</v>
      </c>
      <c r="T617" s="2583"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2" customFormat="1" ht="12" customHeight="1">
      <c r="A618" s="348"/>
      <c r="P618" s="2581"/>
      <c r="R618" s="1305" t="s">
        <v>2663</v>
      </c>
      <c r="S618" s="1305" t="s">
        <v>2083</v>
      </c>
      <c r="T618" s="2583"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2" customFormat="1" ht="12" customHeight="1">
      <c r="A619" s="348"/>
      <c r="P619" s="433"/>
      <c r="R619" s="1305" t="s">
        <v>1083</v>
      </c>
      <c r="S619" s="1305" t="s">
        <v>1512</v>
      </c>
      <c r="T619" s="2583"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2" customFormat="1" ht="12" customHeight="1">
      <c r="A620" s="348"/>
      <c r="P620" s="2582"/>
      <c r="R620" s="1305" t="s">
        <v>937</v>
      </c>
      <c r="S620" s="1305" t="s">
        <v>1141</v>
      </c>
      <c r="T620" s="2583"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2" customFormat="1" ht="12" customHeight="1">
      <c r="A621" s="348"/>
      <c r="P621" s="433"/>
      <c r="R621" s="1305" t="s">
        <v>1084</v>
      </c>
      <c r="S621" s="1305" t="s">
        <v>652</v>
      </c>
      <c r="T621" s="2583"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2" customFormat="1" ht="12" customHeight="1">
      <c r="A622" s="348"/>
      <c r="P622" s="433"/>
      <c r="R622" s="1305" t="s">
        <v>1085</v>
      </c>
      <c r="S622" s="1305" t="s">
        <v>1985</v>
      </c>
      <c r="T622" s="2583"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2" customFormat="1" ht="12" customHeight="1">
      <c r="A623" s="348"/>
      <c r="P623" s="2582"/>
      <c r="R623" s="1305" t="s">
        <v>1086</v>
      </c>
      <c r="S623" s="1305" t="s">
        <v>2081</v>
      </c>
      <c r="T623" s="2583"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2" customFormat="1" ht="12" customHeight="1">
      <c r="A624" s="348"/>
      <c r="P624" s="433"/>
      <c r="R624" s="1305" t="s">
        <v>1087</v>
      </c>
      <c r="S624" s="1305" t="s">
        <v>1134</v>
      </c>
      <c r="T624" s="2583"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2" customFormat="1" ht="12" customHeight="1">
      <c r="A625" s="348"/>
      <c r="P625" s="433"/>
      <c r="Q625" s="2584"/>
      <c r="R625" s="1305" t="s">
        <v>1088</v>
      </c>
      <c r="S625" s="1305" t="s">
        <v>1577</v>
      </c>
      <c r="T625" s="2583"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2" customFormat="1" ht="12" customHeight="1">
      <c r="A626" s="348"/>
      <c r="P626" s="433"/>
      <c r="R626" s="1305" t="s">
        <v>1089</v>
      </c>
      <c r="S626" s="1305" t="s">
        <v>2569</v>
      </c>
      <c r="T626" s="2583"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2" customFormat="1" ht="12" customHeight="1">
      <c r="A627" s="348"/>
      <c r="P627" s="2582"/>
      <c r="R627" s="1305" t="s">
        <v>1090</v>
      </c>
      <c r="S627" s="1305" t="s">
        <v>164</v>
      </c>
      <c r="T627" s="2583"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2" customFormat="1" ht="12" customHeight="1">
      <c r="A628" s="348"/>
      <c r="P628" s="2582"/>
      <c r="R628" s="1305" t="s">
        <v>1091</v>
      </c>
      <c r="S628" s="1305" t="s">
        <v>1383</v>
      </c>
      <c r="T628" s="2583"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2" customFormat="1" ht="12" customHeight="1">
      <c r="A629" s="348"/>
      <c r="P629" s="433"/>
      <c r="R629" s="1305" t="s">
        <v>1092</v>
      </c>
      <c r="S629" s="1305" t="s">
        <v>1577</v>
      </c>
      <c r="T629" s="2583"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2" customFormat="1" ht="12" customHeight="1">
      <c r="A630" s="348"/>
      <c r="P630" s="433"/>
      <c r="R630" s="1305" t="s">
        <v>1093</v>
      </c>
      <c r="S630" s="1305" t="s">
        <v>1148</v>
      </c>
      <c r="T630" s="2583"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2" customFormat="1" ht="12" customHeight="1">
      <c r="A631" s="348"/>
      <c r="P631" s="433"/>
      <c r="R631" s="1305" t="s">
        <v>1094</v>
      </c>
      <c r="S631" s="1305" t="s">
        <v>2081</v>
      </c>
      <c r="T631" s="2583"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2" customFormat="1" ht="12" customHeight="1">
      <c r="A632" s="348"/>
      <c r="P632" s="433"/>
      <c r="R632" s="563" t="s">
        <v>860</v>
      </c>
      <c r="S632" s="563" t="s">
        <v>906</v>
      </c>
      <c r="T632" s="2583"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2" customFormat="1" ht="12" customHeight="1">
      <c r="A633" s="348"/>
      <c r="P633" s="433"/>
      <c r="R633" s="1305" t="s">
        <v>1095</v>
      </c>
      <c r="S633" s="1305" t="s">
        <v>2572</v>
      </c>
      <c r="T633" s="2583"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2" customFormat="1" ht="12" customHeight="1">
      <c r="A634" s="348"/>
      <c r="P634" s="433"/>
      <c r="R634" s="1305" t="s">
        <v>1665</v>
      </c>
      <c r="S634" s="1305" t="s">
        <v>2616</v>
      </c>
      <c r="T634" s="2583"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2" customFormat="1" ht="12" customHeight="1">
      <c r="A635" s="348"/>
      <c r="P635" s="433"/>
      <c r="R635" s="1305" t="s">
        <v>1096</v>
      </c>
      <c r="S635" s="1305"/>
      <c r="T635" s="2583"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2" customFormat="1" ht="12" customHeight="1">
      <c r="A636" s="348"/>
      <c r="P636" s="433"/>
      <c r="R636" s="1305" t="s">
        <v>189</v>
      </c>
      <c r="S636" s="1305" t="s">
        <v>164</v>
      </c>
      <c r="T636" s="2583"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2" customFormat="1" ht="12" customHeight="1">
      <c r="A637" s="348"/>
      <c r="P637" s="433"/>
      <c r="R637" s="1305" t="s">
        <v>1097</v>
      </c>
      <c r="S637" s="1305" t="s">
        <v>180</v>
      </c>
      <c r="T637" s="2583"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2" customFormat="1" ht="12" customHeight="1">
      <c r="A638" s="348"/>
      <c r="P638" s="433"/>
      <c r="R638" s="1305" t="s">
        <v>2365</v>
      </c>
      <c r="S638" s="1305" t="s">
        <v>1252</v>
      </c>
      <c r="T638" s="2583"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2" customFormat="1" ht="12" customHeight="1">
      <c r="A639" s="348"/>
      <c r="P639" s="433"/>
      <c r="R639" s="1305" t="s">
        <v>1098</v>
      </c>
      <c r="S639" s="1305" t="s">
        <v>652</v>
      </c>
      <c r="T639" s="2583"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2" customFormat="1" ht="12" customHeight="1">
      <c r="A640" s="348"/>
      <c r="P640" s="433"/>
      <c r="R640" s="1305" t="s">
        <v>1099</v>
      </c>
      <c r="S640" s="1305" t="s">
        <v>652</v>
      </c>
      <c r="T640" s="2583"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2" customFormat="1" ht="12" customHeight="1">
      <c r="A641" s="348"/>
      <c r="P641" s="433"/>
      <c r="R641" s="1305" t="s">
        <v>1100</v>
      </c>
      <c r="S641" s="1305" t="s">
        <v>652</v>
      </c>
      <c r="T641" s="2583"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2" customFormat="1" ht="12" customHeight="1">
      <c r="A642" s="348"/>
      <c r="P642" s="433"/>
      <c r="R642" s="1305" t="s">
        <v>1101</v>
      </c>
      <c r="S642" s="1305" t="s">
        <v>652</v>
      </c>
      <c r="T642" s="2583"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2" customFormat="1" ht="12" customHeight="1">
      <c r="A643" s="348"/>
      <c r="P643" s="433"/>
      <c r="R643" s="1305" t="s">
        <v>1102</v>
      </c>
      <c r="S643" s="1305" t="s">
        <v>1727</v>
      </c>
      <c r="T643" s="2583"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2" customFormat="1" ht="12" customHeight="1">
      <c r="A644" s="348"/>
      <c r="P644" s="433"/>
      <c r="R644" s="1305" t="s">
        <v>1103</v>
      </c>
      <c r="S644" s="1305" t="s">
        <v>989</v>
      </c>
      <c r="T644" s="2583"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2" customFormat="1" ht="12" customHeight="1">
      <c r="A645" s="348"/>
      <c r="P645" s="433"/>
      <c r="R645" s="1305" t="s">
        <v>1104</v>
      </c>
      <c r="S645" s="1305" t="s">
        <v>124</v>
      </c>
      <c r="T645" s="2583"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2" customFormat="1" ht="12" customHeight="1">
      <c r="A646" s="348"/>
      <c r="P646" s="2582"/>
      <c r="R646" s="1305" t="s">
        <v>1105</v>
      </c>
      <c r="S646" s="1305" t="s">
        <v>652</v>
      </c>
      <c r="T646" s="2583"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2" customFormat="1" ht="12" customHeight="1">
      <c r="A647" s="348"/>
      <c r="P647" s="433"/>
      <c r="R647" s="1305" t="s">
        <v>1106</v>
      </c>
      <c r="S647" s="1305" t="s">
        <v>329</v>
      </c>
      <c r="T647" s="2583"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2" customFormat="1" ht="12" customHeight="1">
      <c r="A648" s="348"/>
      <c r="P648" s="433"/>
      <c r="R648" s="1305" t="s">
        <v>1107</v>
      </c>
      <c r="S648" s="1305" t="s">
        <v>333</v>
      </c>
      <c r="T648" s="2583"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2" customFormat="1" ht="12" customHeight="1">
      <c r="A649" s="348"/>
      <c r="P649" s="433"/>
      <c r="R649" s="1305" t="s">
        <v>864</v>
      </c>
      <c r="S649" s="1305" t="s">
        <v>1362</v>
      </c>
      <c r="T649" s="2583"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2" customFormat="1" ht="12" customHeight="1">
      <c r="A650" s="348"/>
      <c r="P650" s="433"/>
      <c r="R650" s="1305" t="s">
        <v>1108</v>
      </c>
      <c r="S650" s="1305" t="s">
        <v>692</v>
      </c>
      <c r="T650" s="2583"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2" customFormat="1" ht="12" customHeight="1">
      <c r="A651" s="348"/>
      <c r="P651" s="433"/>
      <c r="R651" s="1305" t="s">
        <v>1109</v>
      </c>
      <c r="S651" s="1305" t="s">
        <v>1577</v>
      </c>
      <c r="T651" s="2583"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2" customFormat="1" ht="12" customHeight="1">
      <c r="A652" s="348"/>
      <c r="P652" s="433"/>
      <c r="R652" s="1305" t="s">
        <v>1110</v>
      </c>
      <c r="S652" s="1305" t="s">
        <v>652</v>
      </c>
      <c r="T652" s="2583"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2" customFormat="1" ht="12" customHeight="1">
      <c r="A653" s="348"/>
      <c r="P653" s="433"/>
      <c r="R653" s="1305" t="s">
        <v>1111</v>
      </c>
      <c r="S653" s="1305" t="s">
        <v>684</v>
      </c>
      <c r="T653" s="2583"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2" customFormat="1" ht="12" customHeight="1">
      <c r="A654" s="348"/>
      <c r="P654" s="433"/>
      <c r="R654" s="1305" t="s">
        <v>1112</v>
      </c>
      <c r="S654" s="1305" t="s">
        <v>164</v>
      </c>
      <c r="T654" s="2583"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2" customFormat="1" ht="12" customHeight="1">
      <c r="A655" s="348"/>
      <c r="P655" s="2581"/>
      <c r="R655" s="1305" t="s">
        <v>1113</v>
      </c>
      <c r="S655" s="1305" t="s">
        <v>1985</v>
      </c>
      <c r="T655" s="2583"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2" customFormat="1" ht="12" customHeight="1">
      <c r="A656" s="348"/>
      <c r="P656" s="2582"/>
      <c r="R656" s="1305" t="s">
        <v>1114</v>
      </c>
      <c r="S656" s="1305" t="s">
        <v>2081</v>
      </c>
      <c r="T656" s="2583"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2" customFormat="1" ht="12" customHeight="1">
      <c r="A657" s="348"/>
      <c r="P657" s="433"/>
      <c r="R657" s="1305" t="s">
        <v>1115</v>
      </c>
      <c r="S657" s="1305" t="s">
        <v>652</v>
      </c>
      <c r="T657" s="2583"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2" customFormat="1" ht="12" customHeight="1">
      <c r="A658" s="348"/>
      <c r="P658" s="433"/>
      <c r="R658" s="1305" t="s">
        <v>1116</v>
      </c>
      <c r="S658" s="1305" t="s">
        <v>1727</v>
      </c>
      <c r="T658" s="2583"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2" customFormat="1" ht="12" customHeight="1">
      <c r="A659" s="348"/>
      <c r="P659" s="2582"/>
      <c r="R659" s="1305" t="s">
        <v>1117</v>
      </c>
      <c r="S659" s="1305" t="s">
        <v>2572</v>
      </c>
      <c r="T659" s="2583"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2" customFormat="1" ht="12" customHeight="1">
      <c r="A660" s="348"/>
      <c r="P660" s="433"/>
      <c r="R660" s="1305" t="s">
        <v>1118</v>
      </c>
      <c r="S660" s="1305" t="s">
        <v>164</v>
      </c>
      <c r="T660" s="2583"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2" customFormat="1" ht="12" customHeight="1">
      <c r="A661" s="348"/>
      <c r="P661" s="433"/>
      <c r="R661" s="1305" t="s">
        <v>1119</v>
      </c>
      <c r="S661" s="1305" t="s">
        <v>164</v>
      </c>
      <c r="T661" s="2583"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2"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2"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2"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2"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2"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2" customFormat="1" ht="12" customHeight="1">
      <c r="A667" s="348"/>
      <c r="P667" s="258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2"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2"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2"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2"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2" customFormat="1" ht="12" customHeight="1">
      <c r="A672" s="348"/>
      <c r="P672" s="258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2"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2"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2"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2"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2"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2" customFormat="1" ht="12" customHeight="1">
      <c r="A678" s="348"/>
      <c r="P678" s="258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2"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2"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2"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2"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2"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2"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2"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2"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2"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2"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2" customFormat="1" ht="12" customHeight="1">
      <c r="A689" s="348"/>
      <c r="P689" s="258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2"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2"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2"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2"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2"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2"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2"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2"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2"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2"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2"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2" customFormat="1" ht="12" customHeight="1">
      <c r="A701" s="348"/>
      <c r="P701" s="258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2" customFormat="1" ht="12" customHeight="1">
      <c r="A702" s="348"/>
      <c r="P702" s="258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2"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2"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2"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2"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2"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2"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2"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2"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2"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2"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2" customFormat="1" ht="12" customHeight="1">
      <c r="A713" s="348"/>
      <c r="P713" s="433"/>
      <c r="Q713" s="2584"/>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2"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2"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2"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2"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2" customFormat="1" ht="12" customHeight="1">
      <c r="A718" s="348"/>
      <c r="P718" s="2581"/>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2"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2"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2"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2"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2"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2"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2"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2"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2"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2"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2"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2" customFormat="1" ht="12" customHeight="1">
      <c r="A730" s="348"/>
      <c r="P730" s="258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2"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2"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2"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2"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2"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2"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2"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2"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2"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2" customFormat="1" ht="12" customHeight="1">
      <c r="A740" s="348"/>
      <c r="P740" s="258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2"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2"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2"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2"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2"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2" customFormat="1" ht="12" customHeight="1">
      <c r="A746" s="348"/>
      <c r="P746" s="2581"/>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2"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2"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2" customFormat="1" ht="12" customHeight="1">
      <c r="A749" s="348"/>
      <c r="P749" s="258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2"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2"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2"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2"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2"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2"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2"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2"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2"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2"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2"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2"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2"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2"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2"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2" customFormat="1" ht="12" customHeight="1">
      <c r="A765" s="348"/>
      <c r="P765" s="2581"/>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2"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2"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2"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2" customFormat="1" ht="12" customHeight="1">
      <c r="A769" s="348"/>
      <c r="P769" s="258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2"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2"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2"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2" customFormat="1" ht="12" customHeight="1">
      <c r="A773" s="348"/>
      <c r="P773" s="258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2"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2"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2"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2"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2"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2"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2"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2"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2"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2"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2"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2"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2"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2"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2" customFormat="1" ht="12" customHeight="1">
      <c r="A801" s="348"/>
      <c r="P801" s="348"/>
      <c r="X801" s="348"/>
      <c r="Y801" s="348"/>
      <c r="Z801" s="348"/>
      <c r="AA801" s="348"/>
      <c r="AB801" s="348"/>
      <c r="AC801" s="348"/>
      <c r="AD801" s="348"/>
      <c r="AE801" s="348"/>
      <c r="AF801" s="348"/>
      <c r="AG801" s="348"/>
    </row>
    <row r="802" spans="1:33" s="562" customFormat="1" ht="12" customHeight="1">
      <c r="A802" s="348"/>
      <c r="P802" s="348"/>
      <c r="X802" s="348"/>
      <c r="Y802" s="348"/>
      <c r="Z802" s="348"/>
      <c r="AA802" s="348"/>
      <c r="AB802" s="348"/>
      <c r="AC802" s="348"/>
      <c r="AD802" s="348"/>
      <c r="AE802" s="348"/>
      <c r="AF802" s="348"/>
      <c r="AG802" s="348"/>
    </row>
    <row r="803" spans="1:33" s="562" customFormat="1" ht="12" customHeight="1">
      <c r="A803" s="348"/>
      <c r="P803" s="348"/>
      <c r="X803" s="348"/>
      <c r="Y803" s="348"/>
      <c r="Z803" s="348"/>
      <c r="AA803" s="348"/>
      <c r="AB803" s="348"/>
      <c r="AC803" s="348"/>
      <c r="AD803" s="348"/>
      <c r="AE803" s="348"/>
      <c r="AF803" s="348"/>
      <c r="AG803" s="348"/>
    </row>
    <row r="804" spans="1:33" s="562" customFormat="1" ht="12" customHeight="1">
      <c r="A804" s="348"/>
      <c r="P804" s="348"/>
      <c r="X804" s="348"/>
      <c r="Y804" s="348"/>
      <c r="Z804" s="348"/>
      <c r="AA804" s="348"/>
      <c r="AB804" s="348"/>
      <c r="AC804" s="348"/>
      <c r="AD804" s="348"/>
      <c r="AE804" s="348"/>
      <c r="AF804" s="348"/>
      <c r="AG804" s="348"/>
    </row>
    <row r="805" spans="1:33" s="562" customFormat="1" ht="12" customHeight="1">
      <c r="A805" s="348"/>
      <c r="P805" s="348"/>
      <c r="X805" s="348"/>
      <c r="Y805" s="348"/>
      <c r="Z805" s="348"/>
      <c r="AA805" s="348"/>
      <c r="AB805" s="348"/>
      <c r="AC805" s="348"/>
      <c r="AD805" s="348"/>
      <c r="AE805" s="348"/>
      <c r="AF805" s="348"/>
      <c r="AG805" s="348"/>
    </row>
    <row r="806" spans="1:33" s="562" customFormat="1" ht="12" customHeight="1">
      <c r="A806" s="348"/>
      <c r="P806" s="348"/>
      <c r="X806" s="348"/>
      <c r="Y806" s="348"/>
      <c r="Z806" s="348"/>
      <c r="AA806" s="348"/>
      <c r="AB806" s="348"/>
      <c r="AC806" s="348"/>
      <c r="AD806" s="348"/>
      <c r="AE806" s="348"/>
      <c r="AF806" s="348"/>
      <c r="AG806" s="348"/>
    </row>
    <row r="807" spans="1:33" s="562" customFormat="1" ht="12" customHeight="1">
      <c r="A807" s="348"/>
      <c r="P807" s="348"/>
      <c r="X807" s="348"/>
      <c r="Y807" s="348"/>
      <c r="Z807" s="348"/>
      <c r="AA807" s="348"/>
      <c r="AB807" s="348"/>
      <c r="AC807" s="348"/>
      <c r="AD807" s="348"/>
      <c r="AE807" s="348"/>
      <c r="AF807" s="348"/>
      <c r="AG807" s="348"/>
    </row>
    <row r="808" spans="1:33" s="562" customFormat="1" ht="12" customHeight="1">
      <c r="A808" s="348"/>
      <c r="P808" s="348"/>
      <c r="X808" s="348"/>
      <c r="Y808" s="348"/>
      <c r="Z808" s="348"/>
      <c r="AA808" s="348"/>
      <c r="AB808" s="348"/>
      <c r="AC808" s="348"/>
      <c r="AD808" s="348"/>
      <c r="AE808" s="348"/>
      <c r="AF808" s="348"/>
      <c r="AG808" s="348"/>
    </row>
    <row r="809" spans="1:33" s="562" customFormat="1" ht="12" customHeight="1">
      <c r="A809" s="348"/>
      <c r="P809" s="348"/>
      <c r="X809" s="348"/>
      <c r="Y809" s="348"/>
      <c r="Z809" s="348"/>
      <c r="AA809" s="348"/>
      <c r="AB809" s="348"/>
      <c r="AC809" s="348"/>
      <c r="AD809" s="348"/>
      <c r="AE809" s="348"/>
      <c r="AF809" s="348"/>
      <c r="AG809" s="348"/>
    </row>
    <row r="810" spans="1:33" s="562" customFormat="1" ht="12" customHeight="1">
      <c r="A810" s="348"/>
      <c r="P810" s="348"/>
      <c r="X810" s="348"/>
      <c r="Y810" s="348"/>
      <c r="Z810" s="348"/>
      <c r="AA810" s="348"/>
      <c r="AB810" s="348"/>
      <c r="AC810" s="348"/>
      <c r="AD810" s="348"/>
      <c r="AE810" s="348"/>
      <c r="AF810" s="348"/>
      <c r="AG810" s="348"/>
    </row>
    <row r="811" spans="1:33" s="562" customFormat="1" ht="12" customHeight="1">
      <c r="A811" s="348"/>
      <c r="P811" s="348"/>
      <c r="X811" s="348"/>
      <c r="Y811" s="348"/>
      <c r="Z811" s="348"/>
      <c r="AA811" s="348"/>
      <c r="AB811" s="348"/>
      <c r="AC811" s="348"/>
      <c r="AD811" s="348"/>
      <c r="AE811" s="348"/>
      <c r="AF811" s="348"/>
      <c r="AG811" s="348"/>
    </row>
    <row r="812" spans="1:33" s="562" customFormat="1" ht="12" customHeight="1">
      <c r="A812" s="348"/>
      <c r="P812" s="348"/>
      <c r="X812" s="348"/>
      <c r="Y812" s="348"/>
      <c r="Z812" s="348"/>
      <c r="AA812" s="348"/>
      <c r="AB812" s="348"/>
      <c r="AC812" s="348"/>
      <c r="AD812" s="348"/>
      <c r="AE812" s="348"/>
      <c r="AF812" s="348"/>
      <c r="AG812" s="348"/>
    </row>
    <row r="813" spans="1:33" s="562" customFormat="1" ht="12" customHeight="1">
      <c r="A813" s="348"/>
      <c r="P813" s="348"/>
      <c r="X813" s="348"/>
      <c r="Y813" s="348"/>
      <c r="Z813" s="348"/>
      <c r="AA813" s="348"/>
      <c r="AB813" s="348"/>
      <c r="AC813" s="348"/>
      <c r="AD813" s="348"/>
      <c r="AE813" s="348"/>
      <c r="AF813" s="348"/>
      <c r="AG813" s="348"/>
    </row>
    <row r="814" spans="1:33" s="562" customFormat="1" ht="12" customHeight="1">
      <c r="A814" s="348"/>
      <c r="P814" s="348"/>
      <c r="X814" s="348"/>
      <c r="Y814" s="348"/>
      <c r="Z814" s="348"/>
      <c r="AA814" s="348"/>
      <c r="AB814" s="348"/>
      <c r="AC814" s="348"/>
      <c r="AD814" s="348"/>
      <c r="AE814" s="348"/>
      <c r="AF814" s="348"/>
      <c r="AG814" s="348"/>
    </row>
    <row r="815" spans="1:33" s="562" customFormat="1" ht="12" customHeight="1">
      <c r="A815" s="348"/>
      <c r="P815" s="348"/>
      <c r="X815" s="348"/>
      <c r="Y815" s="348"/>
      <c r="Z815" s="348"/>
      <c r="AA815" s="348"/>
      <c r="AB815" s="348"/>
      <c r="AC815" s="348"/>
      <c r="AD815" s="348"/>
      <c r="AE815" s="348"/>
      <c r="AF815" s="348"/>
      <c r="AG815" s="348"/>
    </row>
    <row r="816" spans="1:33" s="562" customFormat="1" ht="12" customHeight="1">
      <c r="B816" s="561"/>
      <c r="X816" s="348"/>
      <c r="Y816" s="348"/>
      <c r="Z816" s="348"/>
      <c r="AA816" s="348"/>
      <c r="AB816" s="348"/>
      <c r="AC816" s="348"/>
      <c r="AD816" s="348"/>
      <c r="AE816" s="348"/>
      <c r="AF816" s="348"/>
      <c r="AG816" s="348"/>
    </row>
    <row r="817" spans="2:2" s="562" customFormat="1" ht="12" customHeight="1">
      <c r="B817" s="561"/>
    </row>
    <row r="818" spans="2:2" s="562" customFormat="1" ht="12" customHeight="1">
      <c r="B818" s="561"/>
    </row>
    <row r="819" spans="2:2" s="562" customFormat="1" ht="12" customHeight="1">
      <c r="B819" s="561"/>
    </row>
    <row r="820" spans="2:2" s="562" customFormat="1" ht="12" customHeight="1">
      <c r="B820" s="561"/>
    </row>
    <row r="821" spans="2:2" s="562" customFormat="1" ht="12" customHeight="1">
      <c r="B821" s="561"/>
    </row>
    <row r="822" spans="2:2" s="562" customFormat="1" ht="12" customHeight="1">
      <c r="B822" s="561"/>
    </row>
    <row r="823" spans="2:2" s="562" customFormat="1" ht="12" customHeight="1">
      <c r="B823" s="561"/>
    </row>
    <row r="824" spans="2:2" s="562" customFormat="1" ht="12" customHeight="1">
      <c r="B824" s="561"/>
    </row>
    <row r="825" spans="2:2" s="562" customFormat="1" ht="12" customHeight="1">
      <c r="B825" s="561"/>
    </row>
    <row r="826" spans="2:2" s="562" customFormat="1" ht="12" customHeight="1">
      <c r="B826" s="561"/>
    </row>
    <row r="827" spans="2:2" s="562" customFormat="1" ht="12" customHeight="1">
      <c r="B827" s="561"/>
    </row>
    <row r="828" spans="2:2" s="562" customFormat="1" ht="12" customHeight="1">
      <c r="B828" s="561"/>
    </row>
    <row r="829" spans="2:2" s="562" customFormat="1" ht="12" customHeight="1">
      <c r="B829" s="561"/>
    </row>
    <row r="830" spans="2:2" s="562" customFormat="1" ht="12" customHeight="1">
      <c r="B830" s="561"/>
    </row>
    <row r="831" spans="2:2" s="562" customFormat="1" ht="12" customHeight="1">
      <c r="B831" s="561"/>
    </row>
    <row r="832" spans="2:2" s="562" customFormat="1" ht="12" customHeight="1">
      <c r="B832" s="561"/>
    </row>
    <row r="833" spans="2:27" s="562" customFormat="1" ht="12" customHeight="1">
      <c r="B833" s="561"/>
    </row>
    <row r="834" spans="2:27" s="562" customFormat="1" ht="12" customHeight="1">
      <c r="B834" s="561"/>
    </row>
    <row r="835" spans="2:27" s="562" customFormat="1" ht="12" customHeight="1">
      <c r="B835" s="561"/>
    </row>
    <row r="836" spans="2:27" s="562" customFormat="1" ht="12" customHeight="1">
      <c r="B836" s="561"/>
    </row>
    <row r="837" spans="2:27" s="562" customFormat="1" ht="12" customHeight="1">
      <c r="B837" s="561"/>
    </row>
    <row r="838" spans="2:27" s="562" customFormat="1" ht="12" customHeight="1">
      <c r="B838" s="561"/>
    </row>
    <row r="839" spans="2:27" s="562" customFormat="1" ht="12" customHeight="1">
      <c r="B839" s="561"/>
    </row>
    <row r="840" spans="2:27" s="562" customFormat="1" ht="12" customHeight="1">
      <c r="B840" s="561"/>
    </row>
    <row r="841" spans="2:27" s="562" customFormat="1" ht="12" customHeight="1">
      <c r="B841" s="561"/>
    </row>
    <row r="842" spans="2:27" s="562" customFormat="1" ht="12" customHeight="1">
      <c r="B842" s="561"/>
    </row>
    <row r="843" spans="2:27" s="562" customFormat="1" ht="12" customHeight="1">
      <c r="B843" s="561"/>
    </row>
    <row r="844" spans="2:27" s="562" customFormat="1" ht="12" customHeight="1">
      <c r="B844" s="561"/>
      <c r="N844" s="348"/>
      <c r="O844" s="348"/>
    </row>
    <row r="845" spans="2:27" ht="12" customHeight="1">
      <c r="I845" s="562"/>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j7zJFY/CJzCYQXLHtDvToutBZUZQ3+HMz3EW0RPGxRnOcgg/B0qS7rxjHcuOgE5AJGR/7RrDTsjEJEsSc+r5BA==" saltValue="usnh/oPzctF7ouOyTjllO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horizontalDpi="4294967293" verticalDpi="4294967293"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6" customWidth="1"/>
    <col min="9" max="16384" width="9.140625" style="656"/>
  </cols>
  <sheetData>
    <row r="1" spans="1:8" ht="21.95" customHeight="1">
      <c r="A1" s="2369" t="str">
        <f>IF(Overview!C8="","",Overview!C8)</f>
        <v>Wheat Street Tower</v>
      </c>
      <c r="B1" s="2369"/>
      <c r="C1" s="2369"/>
      <c r="D1" s="2369"/>
      <c r="E1" s="2369"/>
      <c r="F1" s="2369"/>
      <c r="G1" s="2369"/>
      <c r="H1" s="2369"/>
    </row>
    <row r="2" spans="1:8" ht="21.95" customHeight="1">
      <c r="A2" s="883"/>
      <c r="B2" s="883"/>
      <c r="C2" s="883"/>
      <c r="D2" s="883"/>
      <c r="E2" s="883"/>
      <c r="F2" s="883"/>
      <c r="G2" s="883"/>
      <c r="H2" s="883"/>
    </row>
    <row r="3" spans="1:8" ht="20.25" customHeight="1">
      <c r="C3" s="2368" t="s">
        <v>3242</v>
      </c>
      <c r="D3" s="2368"/>
      <c r="E3" s="2368"/>
      <c r="F3" s="2368"/>
    </row>
    <row r="5" spans="1:8" ht="15.75">
      <c r="D5" s="657"/>
      <c r="E5" s="657" t="s">
        <v>3243</v>
      </c>
    </row>
    <row r="6" spans="1:8" ht="15.75">
      <c r="D6" s="657" t="s">
        <v>2566</v>
      </c>
      <c r="E6" s="657" t="s">
        <v>3244</v>
      </c>
    </row>
    <row r="7" spans="1:8" ht="15">
      <c r="D7" s="658"/>
      <c r="E7" s="658"/>
    </row>
    <row r="8" spans="1:8" ht="15">
      <c r="D8" s="659">
        <v>1</v>
      </c>
      <c r="E8" s="660">
        <f>-'Part VII-Pro Forma'!B23/12</f>
        <v>48062.923981438616</v>
      </c>
    </row>
    <row r="9" spans="1:8" ht="15">
      <c r="D9" s="659">
        <v>2</v>
      </c>
      <c r="E9" s="660">
        <f>-'Part VII-Pro Forma'!C23/12</f>
        <v>48062.923981438616</v>
      </c>
    </row>
    <row r="10" spans="1:8" ht="15">
      <c r="D10" s="659">
        <v>3</v>
      </c>
      <c r="E10" s="660">
        <f>-'Part VII-Pro Forma'!D23/12</f>
        <v>48062.923981438616</v>
      </c>
    </row>
    <row r="11" spans="1:8" ht="15">
      <c r="D11" s="661">
        <v>4</v>
      </c>
      <c r="E11" s="660">
        <f>-'Part VII-Pro Forma'!E23/12</f>
        <v>48062.923981438616</v>
      </c>
    </row>
    <row r="12" spans="1:8" ht="15">
      <c r="D12" s="661">
        <v>5</v>
      </c>
      <c r="E12" s="660">
        <f>-'Part VII-Pro Forma'!F23/12</f>
        <v>48062.923981438616</v>
      </c>
    </row>
    <row r="13" spans="1:8" ht="15">
      <c r="D13" s="659">
        <v>6</v>
      </c>
      <c r="E13" s="660">
        <f>-'Part VII-Pro Forma'!G23/12</f>
        <v>48062.923981438616</v>
      </c>
    </row>
    <row r="14" spans="1:8" ht="15">
      <c r="D14" s="659">
        <v>7</v>
      </c>
      <c r="E14" s="660">
        <f>-'Part VII-Pro Forma'!H23/12</f>
        <v>48062.923981438616</v>
      </c>
    </row>
    <row r="15" spans="1:8" ht="15">
      <c r="D15" s="661">
        <v>8</v>
      </c>
      <c r="E15" s="660">
        <f>-'Part VII-Pro Forma'!I23/12</f>
        <v>48062.923981438616</v>
      </c>
    </row>
    <row r="16" spans="1:8" ht="15">
      <c r="D16" s="659">
        <v>9</v>
      </c>
      <c r="E16" s="660">
        <f>-'Part VII-Pro Forma'!J23/12</f>
        <v>48062.923981438616</v>
      </c>
    </row>
    <row r="17" spans="4:8" ht="15">
      <c r="D17" s="659">
        <v>10</v>
      </c>
      <c r="E17" s="660">
        <f>-'Part VII-Pro Forma'!K23/12</f>
        <v>48062.923981438616</v>
      </c>
    </row>
    <row r="18" spans="4:8" ht="15">
      <c r="D18" s="661">
        <v>11</v>
      </c>
      <c r="E18" s="660">
        <f>-'Part VII-Pro Forma'!B53/12</f>
        <v>48062.923981438616</v>
      </c>
    </row>
    <row r="19" spans="4:8" ht="15">
      <c r="D19" s="659">
        <v>12</v>
      </c>
      <c r="E19" s="660">
        <f>-'Part VII-Pro Forma'!C53/12</f>
        <v>48062.923981438616</v>
      </c>
    </row>
    <row r="20" spans="4:8" ht="15">
      <c r="D20" s="659">
        <v>13</v>
      </c>
      <c r="E20" s="660">
        <f>-'Part VII-Pro Forma'!D53/12</f>
        <v>48062.923981438616</v>
      </c>
    </row>
    <row r="21" spans="4:8" ht="15">
      <c r="D21" s="659">
        <v>14</v>
      </c>
      <c r="E21" s="660">
        <f>-'Part VII-Pro Forma'!E53/12</f>
        <v>48062.923981438616</v>
      </c>
    </row>
    <row r="22" spans="4:8" ht="15">
      <c r="D22" s="659">
        <v>15</v>
      </c>
      <c r="E22" s="660">
        <f>-'Part VII-Pro Forma'!F53/12</f>
        <v>48062.923981438616</v>
      </c>
    </row>
    <row r="23" spans="4:8" ht="15">
      <c r="D23" s="659">
        <v>16</v>
      </c>
      <c r="E23" s="660">
        <f>-'Part VII-Pro Forma'!G53/12</f>
        <v>48062.923981438616</v>
      </c>
    </row>
    <row r="24" spans="4:8" ht="15">
      <c r="D24" s="659">
        <v>17</v>
      </c>
      <c r="E24" s="660">
        <f>-'Part VII-Pro Forma'!H53/12</f>
        <v>48062.923981438616</v>
      </c>
      <c r="H24" s="656" t="s">
        <v>254</v>
      </c>
    </row>
    <row r="25" spans="4:8" ht="15">
      <c r="D25" s="659">
        <v>18</v>
      </c>
      <c r="E25" s="660">
        <f>-'Part VII-Pro Forma'!I53/12</f>
        <v>48062.923981438616</v>
      </c>
    </row>
    <row r="26" spans="4:8" ht="15">
      <c r="D26" s="659">
        <v>19</v>
      </c>
      <c r="E26" s="660">
        <f>-'Part VII-Pro Forma'!J53/12</f>
        <v>48062.923981438616</v>
      </c>
    </row>
    <row r="27" spans="4:8" ht="15">
      <c r="D27" s="659">
        <v>20</v>
      </c>
      <c r="E27" s="660">
        <f>-'Part VII-Pro Forma'!K53/12</f>
        <v>48062.923981438616</v>
      </c>
    </row>
    <row r="28" spans="4:8" ht="15">
      <c r="D28" s="659">
        <v>21</v>
      </c>
      <c r="E28" s="660">
        <f>-'Part VII-Pro Forma'!B83/12</f>
        <v>48062.923981438616</v>
      </c>
    </row>
    <row r="29" spans="4:8" ht="15">
      <c r="D29" s="659">
        <v>22</v>
      </c>
      <c r="E29" s="660">
        <f>-'Part VII-Pro Forma'!C83/12</f>
        <v>48062.923981438616</v>
      </c>
    </row>
    <row r="30" spans="4:8" ht="15">
      <c r="D30" s="659">
        <v>23</v>
      </c>
      <c r="E30" s="660">
        <f>-'Part VII-Pro Forma'!D83/12</f>
        <v>48062.923981438616</v>
      </c>
    </row>
    <row r="31" spans="4:8" ht="15">
      <c r="D31" s="659">
        <v>24</v>
      </c>
      <c r="E31" s="660">
        <f>-'Part VII-Pro Forma'!E83/12</f>
        <v>48062.923981438616</v>
      </c>
    </row>
    <row r="32" spans="4:8" ht="15">
      <c r="D32" s="659">
        <v>25</v>
      </c>
      <c r="E32" s="660">
        <f>-'Part VII-Pro Forma'!F83/12</f>
        <v>48062.923981438616</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6" customWidth="1"/>
    <col min="2" max="2" width="10.140625" style="1026" customWidth="1"/>
    <col min="3" max="3" width="11.7109375" style="1026" customWidth="1"/>
    <col min="4" max="4" width="8.5703125" style="1026" customWidth="1"/>
    <col min="5" max="5" width="13.7109375" style="1026" customWidth="1"/>
    <col min="6" max="6" width="2.7109375" style="1026" customWidth="1"/>
    <col min="7" max="7" width="11.7109375" style="1026" customWidth="1"/>
    <col min="8" max="8" width="8.5703125" style="1026" customWidth="1"/>
    <col min="9" max="9" width="13.7109375" style="1026" customWidth="1"/>
    <col min="10" max="10" width="4.7109375" style="1026" customWidth="1"/>
    <col min="11" max="11" width="25.7109375" style="1026" customWidth="1"/>
    <col min="12" max="256" width="8.85546875" style="1026"/>
    <col min="257" max="257" width="11.5703125" style="1026" bestFit="1" customWidth="1"/>
    <col min="258" max="258" width="12.5703125" style="1026" customWidth="1"/>
    <col min="259" max="259" width="10.28515625" style="1026" customWidth="1"/>
    <col min="260" max="260" width="14.7109375" style="1026" customWidth="1"/>
    <col min="261" max="261" width="13.28515625" style="1026" bestFit="1" customWidth="1"/>
    <col min="262" max="262" width="4.85546875" style="1026" customWidth="1"/>
    <col min="263" max="263" width="11.7109375" style="1026" customWidth="1"/>
    <col min="264" max="264" width="12" style="1026" customWidth="1"/>
    <col min="265" max="265" width="9.7109375" style="1026" customWidth="1"/>
    <col min="266" max="266" width="13.7109375" style="1026" bestFit="1" customWidth="1"/>
    <col min="267" max="512" width="8.85546875" style="1026"/>
    <col min="513" max="513" width="11.5703125" style="1026" bestFit="1" customWidth="1"/>
    <col min="514" max="514" width="12.5703125" style="1026" customWidth="1"/>
    <col min="515" max="515" width="10.28515625" style="1026" customWidth="1"/>
    <col min="516" max="516" width="14.7109375" style="1026" customWidth="1"/>
    <col min="517" max="517" width="13.28515625" style="1026" bestFit="1" customWidth="1"/>
    <col min="518" max="518" width="4.85546875" style="1026" customWidth="1"/>
    <col min="519" max="519" width="11.7109375" style="1026" customWidth="1"/>
    <col min="520" max="520" width="12" style="1026" customWidth="1"/>
    <col min="521" max="521" width="9.7109375" style="1026" customWidth="1"/>
    <col min="522" max="522" width="13.7109375" style="1026" bestFit="1" customWidth="1"/>
    <col min="523" max="768" width="8.85546875" style="1026"/>
    <col min="769" max="769" width="11.5703125" style="1026" bestFit="1" customWidth="1"/>
    <col min="770" max="770" width="12.5703125" style="1026" customWidth="1"/>
    <col min="771" max="771" width="10.28515625" style="1026" customWidth="1"/>
    <col min="772" max="772" width="14.7109375" style="1026" customWidth="1"/>
    <col min="773" max="773" width="13.28515625" style="1026" bestFit="1" customWidth="1"/>
    <col min="774" max="774" width="4.85546875" style="1026" customWidth="1"/>
    <col min="775" max="775" width="11.7109375" style="1026" customWidth="1"/>
    <col min="776" max="776" width="12" style="1026" customWidth="1"/>
    <col min="777" max="777" width="9.7109375" style="1026" customWidth="1"/>
    <col min="778" max="778" width="13.7109375" style="1026" bestFit="1" customWidth="1"/>
    <col min="779" max="1024" width="8.85546875" style="1026"/>
    <col min="1025" max="1025" width="11.5703125" style="1026" bestFit="1" customWidth="1"/>
    <col min="1026" max="1026" width="12.5703125" style="1026" customWidth="1"/>
    <col min="1027" max="1027" width="10.28515625" style="1026" customWidth="1"/>
    <col min="1028" max="1028" width="14.7109375" style="1026" customWidth="1"/>
    <col min="1029" max="1029" width="13.28515625" style="1026" bestFit="1" customWidth="1"/>
    <col min="1030" max="1030" width="4.85546875" style="1026" customWidth="1"/>
    <col min="1031" max="1031" width="11.7109375" style="1026" customWidth="1"/>
    <col min="1032" max="1032" width="12" style="1026" customWidth="1"/>
    <col min="1033" max="1033" width="9.7109375" style="1026" customWidth="1"/>
    <col min="1034" max="1034" width="13.7109375" style="1026" bestFit="1" customWidth="1"/>
    <col min="1035" max="1280" width="8.85546875" style="1026"/>
    <col min="1281" max="1281" width="11.5703125" style="1026" bestFit="1" customWidth="1"/>
    <col min="1282" max="1282" width="12.5703125" style="1026" customWidth="1"/>
    <col min="1283" max="1283" width="10.28515625" style="1026" customWidth="1"/>
    <col min="1284" max="1284" width="14.7109375" style="1026" customWidth="1"/>
    <col min="1285" max="1285" width="13.28515625" style="1026" bestFit="1" customWidth="1"/>
    <col min="1286" max="1286" width="4.85546875" style="1026" customWidth="1"/>
    <col min="1287" max="1287" width="11.7109375" style="1026" customWidth="1"/>
    <col min="1288" max="1288" width="12" style="1026" customWidth="1"/>
    <col min="1289" max="1289" width="9.7109375" style="1026" customWidth="1"/>
    <col min="1290" max="1290" width="13.7109375" style="1026" bestFit="1" customWidth="1"/>
    <col min="1291" max="1536" width="8.85546875" style="1026"/>
    <col min="1537" max="1537" width="11.5703125" style="1026" bestFit="1" customWidth="1"/>
    <col min="1538" max="1538" width="12.5703125" style="1026" customWidth="1"/>
    <col min="1539" max="1539" width="10.28515625" style="1026" customWidth="1"/>
    <col min="1540" max="1540" width="14.7109375" style="1026" customWidth="1"/>
    <col min="1541" max="1541" width="13.28515625" style="1026" bestFit="1" customWidth="1"/>
    <col min="1542" max="1542" width="4.85546875" style="1026" customWidth="1"/>
    <col min="1543" max="1543" width="11.7109375" style="1026" customWidth="1"/>
    <col min="1544" max="1544" width="12" style="1026" customWidth="1"/>
    <col min="1545" max="1545" width="9.7109375" style="1026" customWidth="1"/>
    <col min="1546" max="1546" width="13.7109375" style="1026" bestFit="1" customWidth="1"/>
    <col min="1547" max="1792" width="8.85546875" style="1026"/>
    <col min="1793" max="1793" width="11.5703125" style="1026" bestFit="1" customWidth="1"/>
    <col min="1794" max="1794" width="12.5703125" style="1026" customWidth="1"/>
    <col min="1795" max="1795" width="10.28515625" style="1026" customWidth="1"/>
    <col min="1796" max="1796" width="14.7109375" style="1026" customWidth="1"/>
    <col min="1797" max="1797" width="13.28515625" style="1026" bestFit="1" customWidth="1"/>
    <col min="1798" max="1798" width="4.85546875" style="1026" customWidth="1"/>
    <col min="1799" max="1799" width="11.7109375" style="1026" customWidth="1"/>
    <col min="1800" max="1800" width="12" style="1026" customWidth="1"/>
    <col min="1801" max="1801" width="9.7109375" style="1026" customWidth="1"/>
    <col min="1802" max="1802" width="13.7109375" style="1026" bestFit="1" customWidth="1"/>
    <col min="1803" max="2048" width="8.85546875" style="1026"/>
    <col min="2049" max="2049" width="11.5703125" style="1026" bestFit="1" customWidth="1"/>
    <col min="2050" max="2050" width="12.5703125" style="1026" customWidth="1"/>
    <col min="2051" max="2051" width="10.28515625" style="1026" customWidth="1"/>
    <col min="2052" max="2052" width="14.7109375" style="1026" customWidth="1"/>
    <col min="2053" max="2053" width="13.28515625" style="1026" bestFit="1" customWidth="1"/>
    <col min="2054" max="2054" width="4.85546875" style="1026" customWidth="1"/>
    <col min="2055" max="2055" width="11.7109375" style="1026" customWidth="1"/>
    <col min="2056" max="2056" width="12" style="1026" customWidth="1"/>
    <col min="2057" max="2057" width="9.7109375" style="1026" customWidth="1"/>
    <col min="2058" max="2058" width="13.7109375" style="1026" bestFit="1" customWidth="1"/>
    <col min="2059" max="2304" width="8.85546875" style="1026"/>
    <col min="2305" max="2305" width="11.5703125" style="1026" bestFit="1" customWidth="1"/>
    <col min="2306" max="2306" width="12.5703125" style="1026" customWidth="1"/>
    <col min="2307" max="2307" width="10.28515625" style="1026" customWidth="1"/>
    <col min="2308" max="2308" width="14.7109375" style="1026" customWidth="1"/>
    <col min="2309" max="2309" width="13.28515625" style="1026" bestFit="1" customWidth="1"/>
    <col min="2310" max="2310" width="4.85546875" style="1026" customWidth="1"/>
    <col min="2311" max="2311" width="11.7109375" style="1026" customWidth="1"/>
    <col min="2312" max="2312" width="12" style="1026" customWidth="1"/>
    <col min="2313" max="2313" width="9.7109375" style="1026" customWidth="1"/>
    <col min="2314" max="2314" width="13.7109375" style="1026" bestFit="1" customWidth="1"/>
    <col min="2315" max="2560" width="8.85546875" style="1026"/>
    <col min="2561" max="2561" width="11.5703125" style="1026" bestFit="1" customWidth="1"/>
    <col min="2562" max="2562" width="12.5703125" style="1026" customWidth="1"/>
    <col min="2563" max="2563" width="10.28515625" style="1026" customWidth="1"/>
    <col min="2564" max="2564" width="14.7109375" style="1026" customWidth="1"/>
    <col min="2565" max="2565" width="13.28515625" style="1026" bestFit="1" customWidth="1"/>
    <col min="2566" max="2566" width="4.85546875" style="1026" customWidth="1"/>
    <col min="2567" max="2567" width="11.7109375" style="1026" customWidth="1"/>
    <col min="2568" max="2568" width="12" style="1026" customWidth="1"/>
    <col min="2569" max="2569" width="9.7109375" style="1026" customWidth="1"/>
    <col min="2570" max="2570" width="13.7109375" style="1026" bestFit="1" customWidth="1"/>
    <col min="2571" max="2816" width="8.85546875" style="1026"/>
    <col min="2817" max="2817" width="11.5703125" style="1026" bestFit="1" customWidth="1"/>
    <col min="2818" max="2818" width="12.5703125" style="1026" customWidth="1"/>
    <col min="2819" max="2819" width="10.28515625" style="1026" customWidth="1"/>
    <col min="2820" max="2820" width="14.7109375" style="1026" customWidth="1"/>
    <col min="2821" max="2821" width="13.28515625" style="1026" bestFit="1" customWidth="1"/>
    <col min="2822" max="2822" width="4.85546875" style="1026" customWidth="1"/>
    <col min="2823" max="2823" width="11.7109375" style="1026" customWidth="1"/>
    <col min="2824" max="2824" width="12" style="1026" customWidth="1"/>
    <col min="2825" max="2825" width="9.7109375" style="1026" customWidth="1"/>
    <col min="2826" max="2826" width="13.7109375" style="1026" bestFit="1" customWidth="1"/>
    <col min="2827" max="3072" width="8.85546875" style="1026"/>
    <col min="3073" max="3073" width="11.5703125" style="1026" bestFit="1" customWidth="1"/>
    <col min="3074" max="3074" width="12.5703125" style="1026" customWidth="1"/>
    <col min="3075" max="3075" width="10.28515625" style="1026" customWidth="1"/>
    <col min="3076" max="3076" width="14.7109375" style="1026" customWidth="1"/>
    <col min="3077" max="3077" width="13.28515625" style="1026" bestFit="1" customWidth="1"/>
    <col min="3078" max="3078" width="4.85546875" style="1026" customWidth="1"/>
    <col min="3079" max="3079" width="11.7109375" style="1026" customWidth="1"/>
    <col min="3080" max="3080" width="12" style="1026" customWidth="1"/>
    <col min="3081" max="3081" width="9.7109375" style="1026" customWidth="1"/>
    <col min="3082" max="3082" width="13.7109375" style="1026" bestFit="1" customWidth="1"/>
    <col min="3083" max="3328" width="8.85546875" style="1026"/>
    <col min="3329" max="3329" width="11.5703125" style="1026" bestFit="1" customWidth="1"/>
    <col min="3330" max="3330" width="12.5703125" style="1026" customWidth="1"/>
    <col min="3331" max="3331" width="10.28515625" style="1026" customWidth="1"/>
    <col min="3332" max="3332" width="14.7109375" style="1026" customWidth="1"/>
    <col min="3333" max="3333" width="13.28515625" style="1026" bestFit="1" customWidth="1"/>
    <col min="3334" max="3334" width="4.85546875" style="1026" customWidth="1"/>
    <col min="3335" max="3335" width="11.7109375" style="1026" customWidth="1"/>
    <col min="3336" max="3336" width="12" style="1026" customWidth="1"/>
    <col min="3337" max="3337" width="9.7109375" style="1026" customWidth="1"/>
    <col min="3338" max="3338" width="13.7109375" style="1026" bestFit="1" customWidth="1"/>
    <col min="3339" max="3584" width="8.85546875" style="1026"/>
    <col min="3585" max="3585" width="11.5703125" style="1026" bestFit="1" customWidth="1"/>
    <col min="3586" max="3586" width="12.5703125" style="1026" customWidth="1"/>
    <col min="3587" max="3587" width="10.28515625" style="1026" customWidth="1"/>
    <col min="3588" max="3588" width="14.7109375" style="1026" customWidth="1"/>
    <col min="3589" max="3589" width="13.28515625" style="1026" bestFit="1" customWidth="1"/>
    <col min="3590" max="3590" width="4.85546875" style="1026" customWidth="1"/>
    <col min="3591" max="3591" width="11.7109375" style="1026" customWidth="1"/>
    <col min="3592" max="3592" width="12" style="1026" customWidth="1"/>
    <col min="3593" max="3593" width="9.7109375" style="1026" customWidth="1"/>
    <col min="3594" max="3594" width="13.7109375" style="1026" bestFit="1" customWidth="1"/>
    <col min="3595" max="3840" width="8.85546875" style="1026"/>
    <col min="3841" max="3841" width="11.5703125" style="1026" bestFit="1" customWidth="1"/>
    <col min="3842" max="3842" width="12.5703125" style="1026" customWidth="1"/>
    <col min="3843" max="3843" width="10.28515625" style="1026" customWidth="1"/>
    <col min="3844" max="3844" width="14.7109375" style="1026" customWidth="1"/>
    <col min="3845" max="3845" width="13.28515625" style="1026" bestFit="1" customWidth="1"/>
    <col min="3846" max="3846" width="4.85546875" style="1026" customWidth="1"/>
    <col min="3847" max="3847" width="11.7109375" style="1026" customWidth="1"/>
    <col min="3848" max="3848" width="12" style="1026" customWidth="1"/>
    <col min="3849" max="3849" width="9.7109375" style="1026" customWidth="1"/>
    <col min="3850" max="3850" width="13.7109375" style="1026" bestFit="1" customWidth="1"/>
    <col min="3851" max="4096" width="8.85546875" style="1026"/>
    <col min="4097" max="4097" width="11.5703125" style="1026" bestFit="1" customWidth="1"/>
    <col min="4098" max="4098" width="12.5703125" style="1026" customWidth="1"/>
    <col min="4099" max="4099" width="10.28515625" style="1026" customWidth="1"/>
    <col min="4100" max="4100" width="14.7109375" style="1026" customWidth="1"/>
    <col min="4101" max="4101" width="13.28515625" style="1026" bestFit="1" customWidth="1"/>
    <col min="4102" max="4102" width="4.85546875" style="1026" customWidth="1"/>
    <col min="4103" max="4103" width="11.7109375" style="1026" customWidth="1"/>
    <col min="4104" max="4104" width="12" style="1026" customWidth="1"/>
    <col min="4105" max="4105" width="9.7109375" style="1026" customWidth="1"/>
    <col min="4106" max="4106" width="13.7109375" style="1026" bestFit="1" customWidth="1"/>
    <col min="4107" max="4352" width="8.85546875" style="1026"/>
    <col min="4353" max="4353" width="11.5703125" style="1026" bestFit="1" customWidth="1"/>
    <col min="4354" max="4354" width="12.5703125" style="1026" customWidth="1"/>
    <col min="4355" max="4355" width="10.28515625" style="1026" customWidth="1"/>
    <col min="4356" max="4356" width="14.7109375" style="1026" customWidth="1"/>
    <col min="4357" max="4357" width="13.28515625" style="1026" bestFit="1" customWidth="1"/>
    <col min="4358" max="4358" width="4.85546875" style="1026" customWidth="1"/>
    <col min="4359" max="4359" width="11.7109375" style="1026" customWidth="1"/>
    <col min="4360" max="4360" width="12" style="1026" customWidth="1"/>
    <col min="4361" max="4361" width="9.7109375" style="1026" customWidth="1"/>
    <col min="4362" max="4362" width="13.7109375" style="1026" bestFit="1" customWidth="1"/>
    <col min="4363" max="4608" width="8.85546875" style="1026"/>
    <col min="4609" max="4609" width="11.5703125" style="1026" bestFit="1" customWidth="1"/>
    <col min="4610" max="4610" width="12.5703125" style="1026" customWidth="1"/>
    <col min="4611" max="4611" width="10.28515625" style="1026" customWidth="1"/>
    <col min="4612" max="4612" width="14.7109375" style="1026" customWidth="1"/>
    <col min="4613" max="4613" width="13.28515625" style="1026" bestFit="1" customWidth="1"/>
    <col min="4614" max="4614" width="4.85546875" style="1026" customWidth="1"/>
    <col min="4615" max="4615" width="11.7109375" style="1026" customWidth="1"/>
    <col min="4616" max="4616" width="12" style="1026" customWidth="1"/>
    <col min="4617" max="4617" width="9.7109375" style="1026" customWidth="1"/>
    <col min="4618" max="4618" width="13.7109375" style="1026" bestFit="1" customWidth="1"/>
    <col min="4619" max="4864" width="8.85546875" style="1026"/>
    <col min="4865" max="4865" width="11.5703125" style="1026" bestFit="1" customWidth="1"/>
    <col min="4866" max="4866" width="12.5703125" style="1026" customWidth="1"/>
    <col min="4867" max="4867" width="10.28515625" style="1026" customWidth="1"/>
    <col min="4868" max="4868" width="14.7109375" style="1026" customWidth="1"/>
    <col min="4869" max="4869" width="13.28515625" style="1026" bestFit="1" customWidth="1"/>
    <col min="4870" max="4870" width="4.85546875" style="1026" customWidth="1"/>
    <col min="4871" max="4871" width="11.7109375" style="1026" customWidth="1"/>
    <col min="4872" max="4872" width="12" style="1026" customWidth="1"/>
    <col min="4873" max="4873" width="9.7109375" style="1026" customWidth="1"/>
    <col min="4874" max="4874" width="13.7109375" style="1026" bestFit="1" customWidth="1"/>
    <col min="4875" max="5120" width="8.85546875" style="1026"/>
    <col min="5121" max="5121" width="11.5703125" style="1026" bestFit="1" customWidth="1"/>
    <col min="5122" max="5122" width="12.5703125" style="1026" customWidth="1"/>
    <col min="5123" max="5123" width="10.28515625" style="1026" customWidth="1"/>
    <col min="5124" max="5124" width="14.7109375" style="1026" customWidth="1"/>
    <col min="5125" max="5125" width="13.28515625" style="1026" bestFit="1" customWidth="1"/>
    <col min="5126" max="5126" width="4.85546875" style="1026" customWidth="1"/>
    <col min="5127" max="5127" width="11.7109375" style="1026" customWidth="1"/>
    <col min="5128" max="5128" width="12" style="1026" customWidth="1"/>
    <col min="5129" max="5129" width="9.7109375" style="1026" customWidth="1"/>
    <col min="5130" max="5130" width="13.7109375" style="1026" bestFit="1" customWidth="1"/>
    <col min="5131" max="5376" width="8.85546875" style="1026"/>
    <col min="5377" max="5377" width="11.5703125" style="1026" bestFit="1" customWidth="1"/>
    <col min="5378" max="5378" width="12.5703125" style="1026" customWidth="1"/>
    <col min="5379" max="5379" width="10.28515625" style="1026" customWidth="1"/>
    <col min="5380" max="5380" width="14.7109375" style="1026" customWidth="1"/>
    <col min="5381" max="5381" width="13.28515625" style="1026" bestFit="1" customWidth="1"/>
    <col min="5382" max="5382" width="4.85546875" style="1026" customWidth="1"/>
    <col min="5383" max="5383" width="11.7109375" style="1026" customWidth="1"/>
    <col min="5384" max="5384" width="12" style="1026" customWidth="1"/>
    <col min="5385" max="5385" width="9.7109375" style="1026" customWidth="1"/>
    <col min="5386" max="5386" width="13.7109375" style="1026" bestFit="1" customWidth="1"/>
    <col min="5387" max="5632" width="8.85546875" style="1026"/>
    <col min="5633" max="5633" width="11.5703125" style="1026" bestFit="1" customWidth="1"/>
    <col min="5634" max="5634" width="12.5703125" style="1026" customWidth="1"/>
    <col min="5635" max="5635" width="10.28515625" style="1026" customWidth="1"/>
    <col min="5636" max="5636" width="14.7109375" style="1026" customWidth="1"/>
    <col min="5637" max="5637" width="13.28515625" style="1026" bestFit="1" customWidth="1"/>
    <col min="5638" max="5638" width="4.85546875" style="1026" customWidth="1"/>
    <col min="5639" max="5639" width="11.7109375" style="1026" customWidth="1"/>
    <col min="5640" max="5640" width="12" style="1026" customWidth="1"/>
    <col min="5641" max="5641" width="9.7109375" style="1026" customWidth="1"/>
    <col min="5642" max="5642" width="13.7109375" style="1026" bestFit="1" customWidth="1"/>
    <col min="5643" max="5888" width="8.85546875" style="1026"/>
    <col min="5889" max="5889" width="11.5703125" style="1026" bestFit="1" customWidth="1"/>
    <col min="5890" max="5890" width="12.5703125" style="1026" customWidth="1"/>
    <col min="5891" max="5891" width="10.28515625" style="1026" customWidth="1"/>
    <col min="5892" max="5892" width="14.7109375" style="1026" customWidth="1"/>
    <col min="5893" max="5893" width="13.28515625" style="1026" bestFit="1" customWidth="1"/>
    <col min="5894" max="5894" width="4.85546875" style="1026" customWidth="1"/>
    <col min="5895" max="5895" width="11.7109375" style="1026" customWidth="1"/>
    <col min="5896" max="5896" width="12" style="1026" customWidth="1"/>
    <col min="5897" max="5897" width="9.7109375" style="1026" customWidth="1"/>
    <col min="5898" max="5898" width="13.7109375" style="1026" bestFit="1" customWidth="1"/>
    <col min="5899" max="6144" width="8.85546875" style="1026"/>
    <col min="6145" max="6145" width="11.5703125" style="1026" bestFit="1" customWidth="1"/>
    <col min="6146" max="6146" width="12.5703125" style="1026" customWidth="1"/>
    <col min="6147" max="6147" width="10.28515625" style="1026" customWidth="1"/>
    <col min="6148" max="6148" width="14.7109375" style="1026" customWidth="1"/>
    <col min="6149" max="6149" width="13.28515625" style="1026" bestFit="1" customWidth="1"/>
    <col min="6150" max="6150" width="4.85546875" style="1026" customWidth="1"/>
    <col min="6151" max="6151" width="11.7109375" style="1026" customWidth="1"/>
    <col min="6152" max="6152" width="12" style="1026" customWidth="1"/>
    <col min="6153" max="6153" width="9.7109375" style="1026" customWidth="1"/>
    <col min="6154" max="6154" width="13.7109375" style="1026" bestFit="1" customWidth="1"/>
    <col min="6155" max="6400" width="8.85546875" style="1026"/>
    <col min="6401" max="6401" width="11.5703125" style="1026" bestFit="1" customWidth="1"/>
    <col min="6402" max="6402" width="12.5703125" style="1026" customWidth="1"/>
    <col min="6403" max="6403" width="10.28515625" style="1026" customWidth="1"/>
    <col min="6404" max="6404" width="14.7109375" style="1026" customWidth="1"/>
    <col min="6405" max="6405" width="13.28515625" style="1026" bestFit="1" customWidth="1"/>
    <col min="6406" max="6406" width="4.85546875" style="1026" customWidth="1"/>
    <col min="6407" max="6407" width="11.7109375" style="1026" customWidth="1"/>
    <col min="6408" max="6408" width="12" style="1026" customWidth="1"/>
    <col min="6409" max="6409" width="9.7109375" style="1026" customWidth="1"/>
    <col min="6410" max="6410" width="13.7109375" style="1026" bestFit="1" customWidth="1"/>
    <col min="6411" max="6656" width="8.85546875" style="1026"/>
    <col min="6657" max="6657" width="11.5703125" style="1026" bestFit="1" customWidth="1"/>
    <col min="6658" max="6658" width="12.5703125" style="1026" customWidth="1"/>
    <col min="6659" max="6659" width="10.28515625" style="1026" customWidth="1"/>
    <col min="6660" max="6660" width="14.7109375" style="1026" customWidth="1"/>
    <col min="6661" max="6661" width="13.28515625" style="1026" bestFit="1" customWidth="1"/>
    <col min="6662" max="6662" width="4.85546875" style="1026" customWidth="1"/>
    <col min="6663" max="6663" width="11.7109375" style="1026" customWidth="1"/>
    <col min="6664" max="6664" width="12" style="1026" customWidth="1"/>
    <col min="6665" max="6665" width="9.7109375" style="1026" customWidth="1"/>
    <col min="6666" max="6666" width="13.7109375" style="1026" bestFit="1" customWidth="1"/>
    <col min="6667" max="6912" width="8.85546875" style="1026"/>
    <col min="6913" max="6913" width="11.5703125" style="1026" bestFit="1" customWidth="1"/>
    <col min="6914" max="6914" width="12.5703125" style="1026" customWidth="1"/>
    <col min="6915" max="6915" width="10.28515625" style="1026" customWidth="1"/>
    <col min="6916" max="6916" width="14.7109375" style="1026" customWidth="1"/>
    <col min="6917" max="6917" width="13.28515625" style="1026" bestFit="1" customWidth="1"/>
    <col min="6918" max="6918" width="4.85546875" style="1026" customWidth="1"/>
    <col min="6919" max="6919" width="11.7109375" style="1026" customWidth="1"/>
    <col min="6920" max="6920" width="12" style="1026" customWidth="1"/>
    <col min="6921" max="6921" width="9.7109375" style="1026" customWidth="1"/>
    <col min="6922" max="6922" width="13.7109375" style="1026" bestFit="1" customWidth="1"/>
    <col min="6923" max="7168" width="8.85546875" style="1026"/>
    <col min="7169" max="7169" width="11.5703125" style="1026" bestFit="1" customWidth="1"/>
    <col min="7170" max="7170" width="12.5703125" style="1026" customWidth="1"/>
    <col min="7171" max="7171" width="10.28515625" style="1026" customWidth="1"/>
    <col min="7172" max="7172" width="14.7109375" style="1026" customWidth="1"/>
    <col min="7173" max="7173" width="13.28515625" style="1026" bestFit="1" customWidth="1"/>
    <col min="7174" max="7174" width="4.85546875" style="1026" customWidth="1"/>
    <col min="7175" max="7175" width="11.7109375" style="1026" customWidth="1"/>
    <col min="7176" max="7176" width="12" style="1026" customWidth="1"/>
    <col min="7177" max="7177" width="9.7109375" style="1026" customWidth="1"/>
    <col min="7178" max="7178" width="13.7109375" style="1026" bestFit="1" customWidth="1"/>
    <col min="7179" max="7424" width="8.85546875" style="1026"/>
    <col min="7425" max="7425" width="11.5703125" style="1026" bestFit="1" customWidth="1"/>
    <col min="7426" max="7426" width="12.5703125" style="1026" customWidth="1"/>
    <col min="7427" max="7427" width="10.28515625" style="1026" customWidth="1"/>
    <col min="7428" max="7428" width="14.7109375" style="1026" customWidth="1"/>
    <col min="7429" max="7429" width="13.28515625" style="1026" bestFit="1" customWidth="1"/>
    <col min="7430" max="7430" width="4.85546875" style="1026" customWidth="1"/>
    <col min="7431" max="7431" width="11.7109375" style="1026" customWidth="1"/>
    <col min="7432" max="7432" width="12" style="1026" customWidth="1"/>
    <col min="7433" max="7433" width="9.7109375" style="1026" customWidth="1"/>
    <col min="7434" max="7434" width="13.7109375" style="1026" bestFit="1" customWidth="1"/>
    <col min="7435" max="7680" width="8.85546875" style="1026"/>
    <col min="7681" max="7681" width="11.5703125" style="1026" bestFit="1" customWidth="1"/>
    <col min="7682" max="7682" width="12.5703125" style="1026" customWidth="1"/>
    <col min="7683" max="7683" width="10.28515625" style="1026" customWidth="1"/>
    <col min="7684" max="7684" width="14.7109375" style="1026" customWidth="1"/>
    <col min="7685" max="7685" width="13.28515625" style="1026" bestFit="1" customWidth="1"/>
    <col min="7686" max="7686" width="4.85546875" style="1026" customWidth="1"/>
    <col min="7687" max="7687" width="11.7109375" style="1026" customWidth="1"/>
    <col min="7688" max="7688" width="12" style="1026" customWidth="1"/>
    <col min="7689" max="7689" width="9.7109375" style="1026" customWidth="1"/>
    <col min="7690" max="7690" width="13.7109375" style="1026" bestFit="1" customWidth="1"/>
    <col min="7691" max="7936" width="8.85546875" style="1026"/>
    <col min="7937" max="7937" width="11.5703125" style="1026" bestFit="1" customWidth="1"/>
    <col min="7938" max="7938" width="12.5703125" style="1026" customWidth="1"/>
    <col min="7939" max="7939" width="10.28515625" style="1026" customWidth="1"/>
    <col min="7940" max="7940" width="14.7109375" style="1026" customWidth="1"/>
    <col min="7941" max="7941" width="13.28515625" style="1026" bestFit="1" customWidth="1"/>
    <col min="7942" max="7942" width="4.85546875" style="1026" customWidth="1"/>
    <col min="7943" max="7943" width="11.7109375" style="1026" customWidth="1"/>
    <col min="7944" max="7944" width="12" style="1026" customWidth="1"/>
    <col min="7945" max="7945" width="9.7109375" style="1026" customWidth="1"/>
    <col min="7946" max="7946" width="13.7109375" style="1026" bestFit="1" customWidth="1"/>
    <col min="7947" max="8192" width="8.85546875" style="1026"/>
    <col min="8193" max="8193" width="11.5703125" style="1026" bestFit="1" customWidth="1"/>
    <col min="8194" max="8194" width="12.5703125" style="1026" customWidth="1"/>
    <col min="8195" max="8195" width="10.28515625" style="1026" customWidth="1"/>
    <col min="8196" max="8196" width="14.7109375" style="1026" customWidth="1"/>
    <col min="8197" max="8197" width="13.28515625" style="1026" bestFit="1" customWidth="1"/>
    <col min="8198" max="8198" width="4.85546875" style="1026" customWidth="1"/>
    <col min="8199" max="8199" width="11.7109375" style="1026" customWidth="1"/>
    <col min="8200" max="8200" width="12" style="1026" customWidth="1"/>
    <col min="8201" max="8201" width="9.7109375" style="1026" customWidth="1"/>
    <col min="8202" max="8202" width="13.7109375" style="1026" bestFit="1" customWidth="1"/>
    <col min="8203" max="8448" width="8.85546875" style="1026"/>
    <col min="8449" max="8449" width="11.5703125" style="1026" bestFit="1" customWidth="1"/>
    <col min="8450" max="8450" width="12.5703125" style="1026" customWidth="1"/>
    <col min="8451" max="8451" width="10.28515625" style="1026" customWidth="1"/>
    <col min="8452" max="8452" width="14.7109375" style="1026" customWidth="1"/>
    <col min="8453" max="8453" width="13.28515625" style="1026" bestFit="1" customWidth="1"/>
    <col min="8454" max="8454" width="4.85546875" style="1026" customWidth="1"/>
    <col min="8455" max="8455" width="11.7109375" style="1026" customWidth="1"/>
    <col min="8456" max="8456" width="12" style="1026" customWidth="1"/>
    <col min="8457" max="8457" width="9.7109375" style="1026" customWidth="1"/>
    <col min="8458" max="8458" width="13.7109375" style="1026" bestFit="1" customWidth="1"/>
    <col min="8459" max="8704" width="8.85546875" style="1026"/>
    <col min="8705" max="8705" width="11.5703125" style="1026" bestFit="1" customWidth="1"/>
    <col min="8706" max="8706" width="12.5703125" style="1026" customWidth="1"/>
    <col min="8707" max="8707" width="10.28515625" style="1026" customWidth="1"/>
    <col min="8708" max="8708" width="14.7109375" style="1026" customWidth="1"/>
    <col min="8709" max="8709" width="13.28515625" style="1026" bestFit="1" customWidth="1"/>
    <col min="8710" max="8710" width="4.85546875" style="1026" customWidth="1"/>
    <col min="8711" max="8711" width="11.7109375" style="1026" customWidth="1"/>
    <col min="8712" max="8712" width="12" style="1026" customWidth="1"/>
    <col min="8713" max="8713" width="9.7109375" style="1026" customWidth="1"/>
    <col min="8714" max="8714" width="13.7109375" style="1026" bestFit="1" customWidth="1"/>
    <col min="8715" max="8960" width="8.85546875" style="1026"/>
    <col min="8961" max="8961" width="11.5703125" style="1026" bestFit="1" customWidth="1"/>
    <col min="8962" max="8962" width="12.5703125" style="1026" customWidth="1"/>
    <col min="8963" max="8963" width="10.28515625" style="1026" customWidth="1"/>
    <col min="8964" max="8964" width="14.7109375" style="1026" customWidth="1"/>
    <col min="8965" max="8965" width="13.28515625" style="1026" bestFit="1" customWidth="1"/>
    <col min="8966" max="8966" width="4.85546875" style="1026" customWidth="1"/>
    <col min="8967" max="8967" width="11.7109375" style="1026" customWidth="1"/>
    <col min="8968" max="8968" width="12" style="1026" customWidth="1"/>
    <col min="8969" max="8969" width="9.7109375" style="1026" customWidth="1"/>
    <col min="8970" max="8970" width="13.7109375" style="1026" bestFit="1" customWidth="1"/>
    <col min="8971" max="9216" width="8.85546875" style="1026"/>
    <col min="9217" max="9217" width="11.5703125" style="1026" bestFit="1" customWidth="1"/>
    <col min="9218" max="9218" width="12.5703125" style="1026" customWidth="1"/>
    <col min="9219" max="9219" width="10.28515625" style="1026" customWidth="1"/>
    <col min="9220" max="9220" width="14.7109375" style="1026" customWidth="1"/>
    <col min="9221" max="9221" width="13.28515625" style="1026" bestFit="1" customWidth="1"/>
    <col min="9222" max="9222" width="4.85546875" style="1026" customWidth="1"/>
    <col min="9223" max="9223" width="11.7109375" style="1026" customWidth="1"/>
    <col min="9224" max="9224" width="12" style="1026" customWidth="1"/>
    <col min="9225" max="9225" width="9.7109375" style="1026" customWidth="1"/>
    <col min="9226" max="9226" width="13.7109375" style="1026" bestFit="1" customWidth="1"/>
    <col min="9227" max="9472" width="8.85546875" style="1026"/>
    <col min="9473" max="9473" width="11.5703125" style="1026" bestFit="1" customWidth="1"/>
    <col min="9474" max="9474" width="12.5703125" style="1026" customWidth="1"/>
    <col min="9475" max="9475" width="10.28515625" style="1026" customWidth="1"/>
    <col min="9476" max="9476" width="14.7109375" style="1026" customWidth="1"/>
    <col min="9477" max="9477" width="13.28515625" style="1026" bestFit="1" customWidth="1"/>
    <col min="9478" max="9478" width="4.85546875" style="1026" customWidth="1"/>
    <col min="9479" max="9479" width="11.7109375" style="1026" customWidth="1"/>
    <col min="9480" max="9480" width="12" style="1026" customWidth="1"/>
    <col min="9481" max="9481" width="9.7109375" style="1026" customWidth="1"/>
    <col min="9482" max="9482" width="13.7109375" style="1026" bestFit="1" customWidth="1"/>
    <col min="9483" max="9728" width="8.85546875" style="1026"/>
    <col min="9729" max="9729" width="11.5703125" style="1026" bestFit="1" customWidth="1"/>
    <col min="9730" max="9730" width="12.5703125" style="1026" customWidth="1"/>
    <col min="9731" max="9731" width="10.28515625" style="1026" customWidth="1"/>
    <col min="9732" max="9732" width="14.7109375" style="1026" customWidth="1"/>
    <col min="9733" max="9733" width="13.28515625" style="1026" bestFit="1" customWidth="1"/>
    <col min="9734" max="9734" width="4.85546875" style="1026" customWidth="1"/>
    <col min="9735" max="9735" width="11.7109375" style="1026" customWidth="1"/>
    <col min="9736" max="9736" width="12" style="1026" customWidth="1"/>
    <col min="9737" max="9737" width="9.7109375" style="1026" customWidth="1"/>
    <col min="9738" max="9738" width="13.7109375" style="1026" bestFit="1" customWidth="1"/>
    <col min="9739" max="9984" width="8.85546875" style="1026"/>
    <col min="9985" max="9985" width="11.5703125" style="1026" bestFit="1" customWidth="1"/>
    <col min="9986" max="9986" width="12.5703125" style="1026" customWidth="1"/>
    <col min="9987" max="9987" width="10.28515625" style="1026" customWidth="1"/>
    <col min="9988" max="9988" width="14.7109375" style="1026" customWidth="1"/>
    <col min="9989" max="9989" width="13.28515625" style="1026" bestFit="1" customWidth="1"/>
    <col min="9990" max="9990" width="4.85546875" style="1026" customWidth="1"/>
    <col min="9991" max="9991" width="11.7109375" style="1026" customWidth="1"/>
    <col min="9992" max="9992" width="12" style="1026" customWidth="1"/>
    <col min="9993" max="9993" width="9.7109375" style="1026" customWidth="1"/>
    <col min="9994" max="9994" width="13.7109375" style="1026" bestFit="1" customWidth="1"/>
    <col min="9995" max="10240" width="8.85546875" style="1026"/>
    <col min="10241" max="10241" width="11.5703125" style="1026" bestFit="1" customWidth="1"/>
    <col min="10242" max="10242" width="12.5703125" style="1026" customWidth="1"/>
    <col min="10243" max="10243" width="10.28515625" style="1026" customWidth="1"/>
    <col min="10244" max="10244" width="14.7109375" style="1026" customWidth="1"/>
    <col min="10245" max="10245" width="13.28515625" style="1026" bestFit="1" customWidth="1"/>
    <col min="10246" max="10246" width="4.85546875" style="1026" customWidth="1"/>
    <col min="10247" max="10247" width="11.7109375" style="1026" customWidth="1"/>
    <col min="10248" max="10248" width="12" style="1026" customWidth="1"/>
    <col min="10249" max="10249" width="9.7109375" style="1026" customWidth="1"/>
    <col min="10250" max="10250" width="13.7109375" style="1026" bestFit="1" customWidth="1"/>
    <col min="10251" max="10496" width="8.85546875" style="1026"/>
    <col min="10497" max="10497" width="11.5703125" style="1026" bestFit="1" customWidth="1"/>
    <col min="10498" max="10498" width="12.5703125" style="1026" customWidth="1"/>
    <col min="10499" max="10499" width="10.28515625" style="1026" customWidth="1"/>
    <col min="10500" max="10500" width="14.7109375" style="1026" customWidth="1"/>
    <col min="10501" max="10501" width="13.28515625" style="1026" bestFit="1" customWidth="1"/>
    <col min="10502" max="10502" width="4.85546875" style="1026" customWidth="1"/>
    <col min="10503" max="10503" width="11.7109375" style="1026" customWidth="1"/>
    <col min="10504" max="10504" width="12" style="1026" customWidth="1"/>
    <col min="10505" max="10505" width="9.7109375" style="1026" customWidth="1"/>
    <col min="10506" max="10506" width="13.7109375" style="1026" bestFit="1" customWidth="1"/>
    <col min="10507" max="10752" width="8.85546875" style="1026"/>
    <col min="10753" max="10753" width="11.5703125" style="1026" bestFit="1" customWidth="1"/>
    <col min="10754" max="10754" width="12.5703125" style="1026" customWidth="1"/>
    <col min="10755" max="10755" width="10.28515625" style="1026" customWidth="1"/>
    <col min="10756" max="10756" width="14.7109375" style="1026" customWidth="1"/>
    <col min="10757" max="10757" width="13.28515625" style="1026" bestFit="1" customWidth="1"/>
    <col min="10758" max="10758" width="4.85546875" style="1026" customWidth="1"/>
    <col min="10759" max="10759" width="11.7109375" style="1026" customWidth="1"/>
    <col min="10760" max="10760" width="12" style="1026" customWidth="1"/>
    <col min="10761" max="10761" width="9.7109375" style="1026" customWidth="1"/>
    <col min="10762" max="10762" width="13.7109375" style="1026" bestFit="1" customWidth="1"/>
    <col min="10763" max="11008" width="8.85546875" style="1026"/>
    <col min="11009" max="11009" width="11.5703125" style="1026" bestFit="1" customWidth="1"/>
    <col min="11010" max="11010" width="12.5703125" style="1026" customWidth="1"/>
    <col min="11011" max="11011" width="10.28515625" style="1026" customWidth="1"/>
    <col min="11012" max="11012" width="14.7109375" style="1026" customWidth="1"/>
    <col min="11013" max="11013" width="13.28515625" style="1026" bestFit="1" customWidth="1"/>
    <col min="11014" max="11014" width="4.85546875" style="1026" customWidth="1"/>
    <col min="11015" max="11015" width="11.7109375" style="1026" customWidth="1"/>
    <col min="11016" max="11016" width="12" style="1026" customWidth="1"/>
    <col min="11017" max="11017" width="9.7109375" style="1026" customWidth="1"/>
    <col min="11018" max="11018" width="13.7109375" style="1026" bestFit="1" customWidth="1"/>
    <col min="11019" max="11264" width="8.85546875" style="1026"/>
    <col min="11265" max="11265" width="11.5703125" style="1026" bestFit="1" customWidth="1"/>
    <col min="11266" max="11266" width="12.5703125" style="1026" customWidth="1"/>
    <col min="11267" max="11267" width="10.28515625" style="1026" customWidth="1"/>
    <col min="11268" max="11268" width="14.7109375" style="1026" customWidth="1"/>
    <col min="11269" max="11269" width="13.28515625" style="1026" bestFit="1" customWidth="1"/>
    <col min="11270" max="11270" width="4.85546875" style="1026" customWidth="1"/>
    <col min="11271" max="11271" width="11.7109375" style="1026" customWidth="1"/>
    <col min="11272" max="11272" width="12" style="1026" customWidth="1"/>
    <col min="11273" max="11273" width="9.7109375" style="1026" customWidth="1"/>
    <col min="11274" max="11274" width="13.7109375" style="1026" bestFit="1" customWidth="1"/>
    <col min="11275" max="11520" width="8.85546875" style="1026"/>
    <col min="11521" max="11521" width="11.5703125" style="1026" bestFit="1" customWidth="1"/>
    <col min="11522" max="11522" width="12.5703125" style="1026" customWidth="1"/>
    <col min="11523" max="11523" width="10.28515625" style="1026" customWidth="1"/>
    <col min="11524" max="11524" width="14.7109375" style="1026" customWidth="1"/>
    <col min="11525" max="11525" width="13.28515625" style="1026" bestFit="1" customWidth="1"/>
    <col min="11526" max="11526" width="4.85546875" style="1026" customWidth="1"/>
    <col min="11527" max="11527" width="11.7109375" style="1026" customWidth="1"/>
    <col min="11528" max="11528" width="12" style="1026" customWidth="1"/>
    <col min="11529" max="11529" width="9.7109375" style="1026" customWidth="1"/>
    <col min="11530" max="11530" width="13.7109375" style="1026" bestFit="1" customWidth="1"/>
    <col min="11531" max="11776" width="8.85546875" style="1026"/>
    <col min="11777" max="11777" width="11.5703125" style="1026" bestFit="1" customWidth="1"/>
    <col min="11778" max="11778" width="12.5703125" style="1026" customWidth="1"/>
    <col min="11779" max="11779" width="10.28515625" style="1026" customWidth="1"/>
    <col min="11780" max="11780" width="14.7109375" style="1026" customWidth="1"/>
    <col min="11781" max="11781" width="13.28515625" style="1026" bestFit="1" customWidth="1"/>
    <col min="11782" max="11782" width="4.85546875" style="1026" customWidth="1"/>
    <col min="11783" max="11783" width="11.7109375" style="1026" customWidth="1"/>
    <col min="11784" max="11784" width="12" style="1026" customWidth="1"/>
    <col min="11785" max="11785" width="9.7109375" style="1026" customWidth="1"/>
    <col min="11786" max="11786" width="13.7109375" style="1026" bestFit="1" customWidth="1"/>
    <col min="11787" max="12032" width="8.85546875" style="1026"/>
    <col min="12033" max="12033" width="11.5703125" style="1026" bestFit="1" customWidth="1"/>
    <col min="12034" max="12034" width="12.5703125" style="1026" customWidth="1"/>
    <col min="12035" max="12035" width="10.28515625" style="1026" customWidth="1"/>
    <col min="12036" max="12036" width="14.7109375" style="1026" customWidth="1"/>
    <col min="12037" max="12037" width="13.28515625" style="1026" bestFit="1" customWidth="1"/>
    <col min="12038" max="12038" width="4.85546875" style="1026" customWidth="1"/>
    <col min="12039" max="12039" width="11.7109375" style="1026" customWidth="1"/>
    <col min="12040" max="12040" width="12" style="1026" customWidth="1"/>
    <col min="12041" max="12041" width="9.7109375" style="1026" customWidth="1"/>
    <col min="12042" max="12042" width="13.7109375" style="1026" bestFit="1" customWidth="1"/>
    <col min="12043" max="12288" width="8.85546875" style="1026"/>
    <col min="12289" max="12289" width="11.5703125" style="1026" bestFit="1" customWidth="1"/>
    <col min="12290" max="12290" width="12.5703125" style="1026" customWidth="1"/>
    <col min="12291" max="12291" width="10.28515625" style="1026" customWidth="1"/>
    <col min="12292" max="12292" width="14.7109375" style="1026" customWidth="1"/>
    <col min="12293" max="12293" width="13.28515625" style="1026" bestFit="1" customWidth="1"/>
    <col min="12294" max="12294" width="4.85546875" style="1026" customWidth="1"/>
    <col min="12295" max="12295" width="11.7109375" style="1026" customWidth="1"/>
    <col min="12296" max="12296" width="12" style="1026" customWidth="1"/>
    <col min="12297" max="12297" width="9.7109375" style="1026" customWidth="1"/>
    <col min="12298" max="12298" width="13.7109375" style="1026" bestFit="1" customWidth="1"/>
    <col min="12299" max="12544" width="8.85546875" style="1026"/>
    <col min="12545" max="12545" width="11.5703125" style="1026" bestFit="1" customWidth="1"/>
    <col min="12546" max="12546" width="12.5703125" style="1026" customWidth="1"/>
    <col min="12547" max="12547" width="10.28515625" style="1026" customWidth="1"/>
    <col min="12548" max="12548" width="14.7109375" style="1026" customWidth="1"/>
    <col min="12549" max="12549" width="13.28515625" style="1026" bestFit="1" customWidth="1"/>
    <col min="12550" max="12550" width="4.85546875" style="1026" customWidth="1"/>
    <col min="12551" max="12551" width="11.7109375" style="1026" customWidth="1"/>
    <col min="12552" max="12552" width="12" style="1026" customWidth="1"/>
    <col min="12553" max="12553" width="9.7109375" style="1026" customWidth="1"/>
    <col min="12554" max="12554" width="13.7109375" style="1026" bestFit="1" customWidth="1"/>
    <col min="12555" max="12800" width="8.85546875" style="1026"/>
    <col min="12801" max="12801" width="11.5703125" style="1026" bestFit="1" customWidth="1"/>
    <col min="12802" max="12802" width="12.5703125" style="1026" customWidth="1"/>
    <col min="12803" max="12803" width="10.28515625" style="1026" customWidth="1"/>
    <col min="12804" max="12804" width="14.7109375" style="1026" customWidth="1"/>
    <col min="12805" max="12805" width="13.28515625" style="1026" bestFit="1" customWidth="1"/>
    <col min="12806" max="12806" width="4.85546875" style="1026" customWidth="1"/>
    <col min="12807" max="12807" width="11.7109375" style="1026" customWidth="1"/>
    <col min="12808" max="12808" width="12" style="1026" customWidth="1"/>
    <col min="12809" max="12809" width="9.7109375" style="1026" customWidth="1"/>
    <col min="12810" max="12810" width="13.7109375" style="1026" bestFit="1" customWidth="1"/>
    <col min="12811" max="13056" width="8.85546875" style="1026"/>
    <col min="13057" max="13057" width="11.5703125" style="1026" bestFit="1" customWidth="1"/>
    <col min="13058" max="13058" width="12.5703125" style="1026" customWidth="1"/>
    <col min="13059" max="13059" width="10.28515625" style="1026" customWidth="1"/>
    <col min="13060" max="13060" width="14.7109375" style="1026" customWidth="1"/>
    <col min="13061" max="13061" width="13.28515625" style="1026" bestFit="1" customWidth="1"/>
    <col min="13062" max="13062" width="4.85546875" style="1026" customWidth="1"/>
    <col min="13063" max="13063" width="11.7109375" style="1026" customWidth="1"/>
    <col min="13064" max="13064" width="12" style="1026" customWidth="1"/>
    <col min="13065" max="13065" width="9.7109375" style="1026" customWidth="1"/>
    <col min="13066" max="13066" width="13.7109375" style="1026" bestFit="1" customWidth="1"/>
    <col min="13067" max="13312" width="8.85546875" style="1026"/>
    <col min="13313" max="13313" width="11.5703125" style="1026" bestFit="1" customWidth="1"/>
    <col min="13314" max="13314" width="12.5703125" style="1026" customWidth="1"/>
    <col min="13315" max="13315" width="10.28515625" style="1026" customWidth="1"/>
    <col min="13316" max="13316" width="14.7109375" style="1026" customWidth="1"/>
    <col min="13317" max="13317" width="13.28515625" style="1026" bestFit="1" customWidth="1"/>
    <col min="13318" max="13318" width="4.85546875" style="1026" customWidth="1"/>
    <col min="13319" max="13319" width="11.7109375" style="1026" customWidth="1"/>
    <col min="13320" max="13320" width="12" style="1026" customWidth="1"/>
    <col min="13321" max="13321" width="9.7109375" style="1026" customWidth="1"/>
    <col min="13322" max="13322" width="13.7109375" style="1026" bestFit="1" customWidth="1"/>
    <col min="13323" max="13568" width="8.85546875" style="1026"/>
    <col min="13569" max="13569" width="11.5703125" style="1026" bestFit="1" customWidth="1"/>
    <col min="13570" max="13570" width="12.5703125" style="1026" customWidth="1"/>
    <col min="13571" max="13571" width="10.28515625" style="1026" customWidth="1"/>
    <col min="13572" max="13572" width="14.7109375" style="1026" customWidth="1"/>
    <col min="13573" max="13573" width="13.28515625" style="1026" bestFit="1" customWidth="1"/>
    <col min="13574" max="13574" width="4.85546875" style="1026" customWidth="1"/>
    <col min="13575" max="13575" width="11.7109375" style="1026" customWidth="1"/>
    <col min="13576" max="13576" width="12" style="1026" customWidth="1"/>
    <col min="13577" max="13577" width="9.7109375" style="1026" customWidth="1"/>
    <col min="13578" max="13578" width="13.7109375" style="1026" bestFit="1" customWidth="1"/>
    <col min="13579" max="13824" width="8.85546875" style="1026"/>
    <col min="13825" max="13825" width="11.5703125" style="1026" bestFit="1" customWidth="1"/>
    <col min="13826" max="13826" width="12.5703125" style="1026" customWidth="1"/>
    <col min="13827" max="13827" width="10.28515625" style="1026" customWidth="1"/>
    <col min="13828" max="13828" width="14.7109375" style="1026" customWidth="1"/>
    <col min="13829" max="13829" width="13.28515625" style="1026" bestFit="1" customWidth="1"/>
    <col min="13830" max="13830" width="4.85546875" style="1026" customWidth="1"/>
    <col min="13831" max="13831" width="11.7109375" style="1026" customWidth="1"/>
    <col min="13832" max="13832" width="12" style="1026" customWidth="1"/>
    <col min="13833" max="13833" width="9.7109375" style="1026" customWidth="1"/>
    <col min="13834" max="13834" width="13.7109375" style="1026" bestFit="1" customWidth="1"/>
    <col min="13835" max="14080" width="8.85546875" style="1026"/>
    <col min="14081" max="14081" width="11.5703125" style="1026" bestFit="1" customWidth="1"/>
    <col min="14082" max="14082" width="12.5703125" style="1026" customWidth="1"/>
    <col min="14083" max="14083" width="10.28515625" style="1026" customWidth="1"/>
    <col min="14084" max="14084" width="14.7109375" style="1026" customWidth="1"/>
    <col min="14085" max="14085" width="13.28515625" style="1026" bestFit="1" customWidth="1"/>
    <col min="14086" max="14086" width="4.85546875" style="1026" customWidth="1"/>
    <col min="14087" max="14087" width="11.7109375" style="1026" customWidth="1"/>
    <col min="14088" max="14088" width="12" style="1026" customWidth="1"/>
    <col min="14089" max="14089" width="9.7109375" style="1026" customWidth="1"/>
    <col min="14090" max="14090" width="13.7109375" style="1026" bestFit="1" customWidth="1"/>
    <col min="14091" max="14336" width="8.85546875" style="1026"/>
    <col min="14337" max="14337" width="11.5703125" style="1026" bestFit="1" customWidth="1"/>
    <col min="14338" max="14338" width="12.5703125" style="1026" customWidth="1"/>
    <col min="14339" max="14339" width="10.28515625" style="1026" customWidth="1"/>
    <col min="14340" max="14340" width="14.7109375" style="1026" customWidth="1"/>
    <col min="14341" max="14341" width="13.28515625" style="1026" bestFit="1" customWidth="1"/>
    <col min="14342" max="14342" width="4.85546875" style="1026" customWidth="1"/>
    <col min="14343" max="14343" width="11.7109375" style="1026" customWidth="1"/>
    <col min="14344" max="14344" width="12" style="1026" customWidth="1"/>
    <col min="14345" max="14345" width="9.7109375" style="1026" customWidth="1"/>
    <col min="14346" max="14346" width="13.7109375" style="1026" bestFit="1" customWidth="1"/>
    <col min="14347" max="14592" width="8.85546875" style="1026"/>
    <col min="14593" max="14593" width="11.5703125" style="1026" bestFit="1" customWidth="1"/>
    <col min="14594" max="14594" width="12.5703125" style="1026" customWidth="1"/>
    <col min="14595" max="14595" width="10.28515625" style="1026" customWidth="1"/>
    <col min="14596" max="14596" width="14.7109375" style="1026" customWidth="1"/>
    <col min="14597" max="14597" width="13.28515625" style="1026" bestFit="1" customWidth="1"/>
    <col min="14598" max="14598" width="4.85546875" style="1026" customWidth="1"/>
    <col min="14599" max="14599" width="11.7109375" style="1026" customWidth="1"/>
    <col min="14600" max="14600" width="12" style="1026" customWidth="1"/>
    <col min="14601" max="14601" width="9.7109375" style="1026" customWidth="1"/>
    <col min="14602" max="14602" width="13.7109375" style="1026" bestFit="1" customWidth="1"/>
    <col min="14603" max="14848" width="8.85546875" style="1026"/>
    <col min="14849" max="14849" width="11.5703125" style="1026" bestFit="1" customWidth="1"/>
    <col min="14850" max="14850" width="12.5703125" style="1026" customWidth="1"/>
    <col min="14851" max="14851" width="10.28515625" style="1026" customWidth="1"/>
    <col min="14852" max="14852" width="14.7109375" style="1026" customWidth="1"/>
    <col min="14853" max="14853" width="13.28515625" style="1026" bestFit="1" customWidth="1"/>
    <col min="14854" max="14854" width="4.85546875" style="1026" customWidth="1"/>
    <col min="14855" max="14855" width="11.7109375" style="1026" customWidth="1"/>
    <col min="14856" max="14856" width="12" style="1026" customWidth="1"/>
    <col min="14857" max="14857" width="9.7109375" style="1026" customWidth="1"/>
    <col min="14858" max="14858" width="13.7109375" style="1026" bestFit="1" customWidth="1"/>
    <col min="14859" max="15104" width="8.85546875" style="1026"/>
    <col min="15105" max="15105" width="11.5703125" style="1026" bestFit="1" customWidth="1"/>
    <col min="15106" max="15106" width="12.5703125" style="1026" customWidth="1"/>
    <col min="15107" max="15107" width="10.28515625" style="1026" customWidth="1"/>
    <col min="15108" max="15108" width="14.7109375" style="1026" customWidth="1"/>
    <col min="15109" max="15109" width="13.28515625" style="1026" bestFit="1" customWidth="1"/>
    <col min="15110" max="15110" width="4.85546875" style="1026" customWidth="1"/>
    <col min="15111" max="15111" width="11.7109375" style="1026" customWidth="1"/>
    <col min="15112" max="15112" width="12" style="1026" customWidth="1"/>
    <col min="15113" max="15113" width="9.7109375" style="1026" customWidth="1"/>
    <col min="15114" max="15114" width="13.7109375" style="1026" bestFit="1" customWidth="1"/>
    <col min="15115" max="15360" width="8.85546875" style="1026"/>
    <col min="15361" max="15361" width="11.5703125" style="1026" bestFit="1" customWidth="1"/>
    <col min="15362" max="15362" width="12.5703125" style="1026" customWidth="1"/>
    <col min="15363" max="15363" width="10.28515625" style="1026" customWidth="1"/>
    <col min="15364" max="15364" width="14.7109375" style="1026" customWidth="1"/>
    <col min="15365" max="15365" width="13.28515625" style="1026" bestFit="1" customWidth="1"/>
    <col min="15366" max="15366" width="4.85546875" style="1026" customWidth="1"/>
    <col min="15367" max="15367" width="11.7109375" style="1026" customWidth="1"/>
    <col min="15368" max="15368" width="12" style="1026" customWidth="1"/>
    <col min="15369" max="15369" width="9.7109375" style="1026" customWidth="1"/>
    <col min="15370" max="15370" width="13.7109375" style="1026" bestFit="1" customWidth="1"/>
    <col min="15371" max="15616" width="8.85546875" style="1026"/>
    <col min="15617" max="15617" width="11.5703125" style="1026" bestFit="1" customWidth="1"/>
    <col min="15618" max="15618" width="12.5703125" style="1026" customWidth="1"/>
    <col min="15619" max="15619" width="10.28515625" style="1026" customWidth="1"/>
    <col min="15620" max="15620" width="14.7109375" style="1026" customWidth="1"/>
    <col min="15621" max="15621" width="13.28515625" style="1026" bestFit="1" customWidth="1"/>
    <col min="15622" max="15622" width="4.85546875" style="1026" customWidth="1"/>
    <col min="15623" max="15623" width="11.7109375" style="1026" customWidth="1"/>
    <col min="15624" max="15624" width="12" style="1026" customWidth="1"/>
    <col min="15625" max="15625" width="9.7109375" style="1026" customWidth="1"/>
    <col min="15626" max="15626" width="13.7109375" style="1026" bestFit="1" customWidth="1"/>
    <col min="15627" max="15872" width="8.85546875" style="1026"/>
    <col min="15873" max="15873" width="11.5703125" style="1026" bestFit="1" customWidth="1"/>
    <col min="15874" max="15874" width="12.5703125" style="1026" customWidth="1"/>
    <col min="15875" max="15875" width="10.28515625" style="1026" customWidth="1"/>
    <col min="15876" max="15876" width="14.7109375" style="1026" customWidth="1"/>
    <col min="15877" max="15877" width="13.28515625" style="1026" bestFit="1" customWidth="1"/>
    <col min="15878" max="15878" width="4.85546875" style="1026" customWidth="1"/>
    <col min="15879" max="15879" width="11.7109375" style="1026" customWidth="1"/>
    <col min="15880" max="15880" width="12" style="1026" customWidth="1"/>
    <col min="15881" max="15881" width="9.7109375" style="1026" customWidth="1"/>
    <col min="15882" max="15882" width="13.7109375" style="1026" bestFit="1" customWidth="1"/>
    <col min="15883" max="16128" width="8.85546875" style="1026"/>
    <col min="16129" max="16129" width="11.5703125" style="1026" bestFit="1" customWidth="1"/>
    <col min="16130" max="16130" width="12.5703125" style="1026" customWidth="1"/>
    <col min="16131" max="16131" width="10.28515625" style="1026" customWidth="1"/>
    <col min="16132" max="16132" width="14.7109375" style="1026" customWidth="1"/>
    <col min="16133" max="16133" width="13.28515625" style="1026" bestFit="1" customWidth="1"/>
    <col min="16134" max="16134" width="4.85546875" style="1026" customWidth="1"/>
    <col min="16135" max="16135" width="11.7109375" style="1026" customWidth="1"/>
    <col min="16136" max="16136" width="12" style="1026" customWidth="1"/>
    <col min="16137" max="16137" width="9.7109375" style="1026" customWidth="1"/>
    <col min="16138" max="16138" width="13.7109375" style="1026" bestFit="1" customWidth="1"/>
    <col min="16139" max="16384" width="8.85546875" style="1026"/>
  </cols>
  <sheetData>
    <row r="1" spans="1:11" ht="23.25">
      <c r="A1" s="2370" t="s">
        <v>3245</v>
      </c>
      <c r="B1" s="2370"/>
      <c r="C1" s="2370"/>
      <c r="D1" s="2370"/>
      <c r="E1" s="2370"/>
      <c r="F1" s="2370"/>
      <c r="G1" s="2370"/>
      <c r="H1" s="2370"/>
      <c r="I1" s="2370"/>
      <c r="J1" s="2370"/>
      <c r="K1" s="2370"/>
    </row>
    <row r="2" spans="1:11" ht="15">
      <c r="A2" s="1027" t="str">
        <f>Overview!E8</f>
        <v>2016-524</v>
      </c>
      <c r="B2" s="1027" t="str">
        <f>Overview!C8</f>
        <v>Wheat Street Tower</v>
      </c>
      <c r="C2" s="1028"/>
    </row>
    <row r="3" spans="1:11" ht="12.6" customHeight="1">
      <c r="A3" s="1028"/>
      <c r="B3" s="1028"/>
      <c r="C3" s="1028"/>
    </row>
    <row r="4" spans="1:11" ht="18">
      <c r="A4" s="1029" t="s">
        <v>3836</v>
      </c>
      <c r="B4" s="1028"/>
      <c r="C4" s="1028"/>
    </row>
    <row r="5" spans="1:11" s="981" customFormat="1" ht="17.25" customHeight="1">
      <c r="C5" s="2373" t="s">
        <v>3820</v>
      </c>
      <c r="D5" s="2374"/>
      <c r="E5" s="2375"/>
      <c r="F5" s="707"/>
      <c r="G5" s="2373" t="s">
        <v>3821</v>
      </c>
      <c r="H5" s="2374"/>
      <c r="I5" s="2375"/>
      <c r="J5" s="1026"/>
      <c r="K5" s="1030" t="s">
        <v>3825</v>
      </c>
    </row>
    <row r="6" spans="1:11" s="1032" customFormat="1" ht="15" customHeight="1">
      <c r="A6" s="1031" t="s">
        <v>2821</v>
      </c>
      <c r="C6" s="1033" t="s">
        <v>3816</v>
      </c>
      <c r="D6" s="1033" t="s">
        <v>3246</v>
      </c>
      <c r="E6" s="1033" t="s">
        <v>2066</v>
      </c>
      <c r="G6" s="1033" t="s">
        <v>3817</v>
      </c>
      <c r="H6" s="1033" t="s">
        <v>3246</v>
      </c>
      <c r="I6" s="1033" t="s">
        <v>2066</v>
      </c>
      <c r="K6" s="1034" t="s">
        <v>3249</v>
      </c>
    </row>
    <row r="7" spans="1:11" s="707" customFormat="1" ht="13.5" customHeight="1">
      <c r="A7" s="707" t="s">
        <v>3247</v>
      </c>
      <c r="C7" s="1035">
        <f>'DCA Underwriting Assumptions'!$J$54</f>
        <v>110481</v>
      </c>
      <c r="D7" s="1036" t="e">
        <f>#REF!</f>
        <v>#REF!</v>
      </c>
      <c r="E7" s="1037" t="e">
        <f>C7*D7</f>
        <v>#REF!</v>
      </c>
      <c r="G7" s="1035">
        <f>'DCA Underwriting Assumptions'!$J$54</f>
        <v>110481</v>
      </c>
      <c r="H7" s="1036" t="e">
        <f>#REF!</f>
        <v>#REF!</v>
      </c>
      <c r="I7" s="1037" t="e">
        <f>G7*H7</f>
        <v>#REF!</v>
      </c>
      <c r="K7" s="1038">
        <f>'Part VIII-Threshold Criteria'!$P$53</f>
        <v>0</v>
      </c>
    </row>
    <row r="8" spans="1:11" s="707" customFormat="1" ht="13.5" customHeight="1">
      <c r="A8" s="707" t="s">
        <v>2819</v>
      </c>
      <c r="C8" s="1035">
        <f>'DCA Underwriting Assumptions'!$K$54</f>
        <v>126647</v>
      </c>
      <c r="D8" s="1036" t="e">
        <f>#REF!</f>
        <v>#REF!</v>
      </c>
      <c r="E8" s="1037" t="e">
        <f>C8*D8</f>
        <v>#REF!</v>
      </c>
      <c r="G8" s="1035">
        <f>'DCA Underwriting Assumptions'!$K$54</f>
        <v>126647</v>
      </c>
      <c r="H8" s="1036" t="e">
        <f>#REF!</f>
        <v>#REF!</v>
      </c>
      <c r="I8" s="1037" t="e">
        <f>G8*H8</f>
        <v>#REF!</v>
      </c>
      <c r="K8" s="1034" t="s">
        <v>3818</v>
      </c>
    </row>
    <row r="9" spans="1:11" s="707" customFormat="1" ht="13.5" customHeight="1">
      <c r="A9" s="707" t="s">
        <v>2820</v>
      </c>
      <c r="C9" s="1035">
        <f>'DCA Underwriting Assumptions'!$L$54</f>
        <v>154003</v>
      </c>
      <c r="D9" s="1036" t="e">
        <f>#REF!</f>
        <v>#REF!</v>
      </c>
      <c r="E9" s="1037" t="e">
        <f>C9*D9</f>
        <v>#REF!</v>
      </c>
      <c r="G9" s="1035">
        <f>'DCA Underwriting Assumptions'!$L$54</f>
        <v>154003</v>
      </c>
      <c r="H9" s="1036" t="e">
        <f>#REF!</f>
        <v>#REF!</v>
      </c>
      <c r="I9" s="1037" t="e">
        <f>G9*H9</f>
        <v>#REF!</v>
      </c>
      <c r="K9" s="1038">
        <f ca="1">'Part IV-Uses of Funds'!$G$131</f>
        <v>25231313.324578471</v>
      </c>
    </row>
    <row r="10" spans="1:11" s="707" customFormat="1" ht="13.5" customHeight="1">
      <c r="A10" s="707" t="s">
        <v>2823</v>
      </c>
      <c r="C10" s="1035">
        <f>'DCA Underwriting Assumptions'!$M$54</f>
        <v>199229</v>
      </c>
      <c r="D10" s="1036" t="e">
        <f>#REF!</f>
        <v>#REF!</v>
      </c>
      <c r="E10" s="1037" t="e">
        <f>C10*D10</f>
        <v>#REF!</v>
      </c>
      <c r="G10" s="1035">
        <f>'DCA Underwriting Assumptions'!$M$54</f>
        <v>199229</v>
      </c>
      <c r="H10" s="1036" t="e">
        <f>#REF!</f>
        <v>#REF!</v>
      </c>
      <c r="I10" s="1037" t="e">
        <f>G10*H10</f>
        <v>#REF!</v>
      </c>
      <c r="K10" s="1034" t="s">
        <v>3819</v>
      </c>
    </row>
    <row r="11" spans="1:11" s="707" customFormat="1" ht="13.5" customHeight="1">
      <c r="A11" s="1039" t="s">
        <v>3815</v>
      </c>
      <c r="C11" s="1040">
        <f>'DCA Underwriting Assumptions'!$N$54</f>
        <v>199229</v>
      </c>
      <c r="D11" s="1041" t="e">
        <f>#REF!</f>
        <v>#REF!</v>
      </c>
      <c r="E11" s="1042" t="e">
        <f>C11*D11</f>
        <v>#REF!</v>
      </c>
      <c r="G11" s="1040">
        <f>'DCA Underwriting Assumptions'!$N$54</f>
        <v>199229</v>
      </c>
      <c r="H11" s="1041" t="e">
        <f>#REF!</f>
        <v>#REF!</v>
      </c>
      <c r="I11" s="1042" t="e">
        <f>G11*H11</f>
        <v>#REF!</v>
      </c>
      <c r="K11" s="2376" t="s">
        <v>3826</v>
      </c>
    </row>
    <row r="12" spans="1:11" ht="13.5" customHeight="1" thickBot="1">
      <c r="A12" s="1043" t="s">
        <v>3782</v>
      </c>
      <c r="D12" s="1044" t="e">
        <f>SUM(D7:D11)</f>
        <v>#REF!</v>
      </c>
      <c r="E12" s="1045"/>
      <c r="G12" s="1043" t="s">
        <v>1859</v>
      </c>
      <c r="H12" s="1044" t="e">
        <f>SUM(H7:H11)</f>
        <v>#REF!</v>
      </c>
      <c r="I12" s="1045"/>
      <c r="K12" s="2377"/>
    </row>
    <row r="13" spans="1:11" s="707" customFormat="1" ht="13.5" customHeight="1" thickBot="1">
      <c r="A13" s="1043" t="s">
        <v>3248</v>
      </c>
      <c r="B13" s="1046"/>
      <c r="E13" s="1047" t="e">
        <f>SUM(E7:E11)</f>
        <v>#REF!</v>
      </c>
      <c r="G13" s="1043" t="s">
        <v>3502</v>
      </c>
      <c r="H13" s="1046"/>
      <c r="I13" s="1048" t="e">
        <f>SUM(I7:I11)</f>
        <v>#REF!</v>
      </c>
      <c r="K13" s="1038">
        <f>'Part VIII-Threshold Criteria'!$P$65</f>
        <v>32271408</v>
      </c>
    </row>
    <row r="14" spans="1:11" ht="11.25" customHeight="1">
      <c r="G14" s="1049" t="s">
        <v>3822</v>
      </c>
    </row>
    <row r="15" spans="1:11" s="707" customFormat="1" ht="13.5" customHeight="1"/>
    <row r="16" spans="1:11" ht="16.5" customHeight="1">
      <c r="A16" s="1029" t="s">
        <v>3837</v>
      </c>
    </row>
    <row r="17" spans="1:11" ht="6" customHeight="1"/>
    <row r="18" spans="1:11" s="707" customFormat="1" ht="13.5" customHeight="1">
      <c r="A18" s="707" t="s">
        <v>3824</v>
      </c>
      <c r="E18" s="1050" t="s">
        <v>3500</v>
      </c>
      <c r="K18" s="1051" t="e">
        <f>Overview!D13</f>
        <v>#REF!</v>
      </c>
    </row>
    <row r="19" spans="1:11" s="707" customFormat="1" ht="13.5" customHeight="1">
      <c r="A19" s="707" t="s">
        <v>3250</v>
      </c>
      <c r="K19" s="872" t="e">
        <f>Overview!C13</f>
        <v>#REF!</v>
      </c>
    </row>
    <row r="20" spans="1:11" ht="3" customHeight="1">
      <c r="A20" s="1052"/>
    </row>
    <row r="21" spans="1:11" s="707" customFormat="1" ht="13.5" customHeight="1">
      <c r="A21" s="707" t="s">
        <v>3251</v>
      </c>
      <c r="E21" s="1050" t="s">
        <v>3823</v>
      </c>
      <c r="K21" s="1053" t="e">
        <f>K18/K19</f>
        <v>#REF!</v>
      </c>
    </row>
    <row r="22" spans="1:11" ht="9" customHeight="1"/>
    <row r="23" spans="1:11" s="707" customFormat="1" ht="13.5" customHeight="1">
      <c r="A23" s="707" t="s">
        <v>3781</v>
      </c>
      <c r="C23" s="1054"/>
      <c r="E23" s="1050" t="s">
        <v>3254</v>
      </c>
      <c r="K23" s="872">
        <f ca="1">K9</f>
        <v>25231313.324578471</v>
      </c>
    </row>
    <row r="24" spans="1:11" s="707" customFormat="1" ht="13.5" customHeight="1">
      <c r="A24" s="1055" t="s">
        <v>1826</v>
      </c>
      <c r="K24" s="1038">
        <f>'Part IV-Uses of Funds'!$G$121</f>
        <v>1035940</v>
      </c>
    </row>
    <row r="25" spans="1:11" s="707" customFormat="1" ht="13.5" customHeight="1">
      <c r="A25" s="1055" t="s">
        <v>3255</v>
      </c>
      <c r="K25" s="1056">
        <v>0</v>
      </c>
    </row>
    <row r="26" spans="1:11" s="707" customFormat="1" ht="13.5" customHeight="1">
      <c r="A26" s="1055" t="s">
        <v>3255</v>
      </c>
      <c r="K26" s="1056">
        <v>0</v>
      </c>
    </row>
    <row r="27" spans="1:11" ht="3" customHeight="1">
      <c r="A27" s="1057"/>
      <c r="K27" s="1058">
        <v>0</v>
      </c>
    </row>
    <row r="28" spans="1:11" s="1046" customFormat="1" ht="13.5" customHeight="1">
      <c r="A28" s="1046" t="s">
        <v>3256</v>
      </c>
      <c r="K28" s="1059">
        <f ca="1">K23-SUM(K24:K27)</f>
        <v>24195373.324578471</v>
      </c>
    </row>
    <row r="29" spans="1:11" ht="9" customHeight="1">
      <c r="A29" s="1052"/>
      <c r="K29" s="1060"/>
    </row>
    <row r="30" spans="1:11" s="707" customFormat="1" ht="15" customHeight="1">
      <c r="A30" s="1046" t="s">
        <v>3257</v>
      </c>
      <c r="E30" s="1050" t="s">
        <v>3831</v>
      </c>
      <c r="F30" s="1061"/>
      <c r="G30" s="1061"/>
      <c r="H30" s="1061"/>
      <c r="I30" s="1061"/>
      <c r="K30" s="1062" t="e">
        <f ca="1">K21*K28</f>
        <v>#REF!</v>
      </c>
    </row>
    <row r="31" spans="1:11" ht="27.75" customHeight="1">
      <c r="K31" s="1060"/>
    </row>
    <row r="32" spans="1:11" s="707" customFormat="1" ht="16.5" customHeight="1">
      <c r="A32" s="1063" t="s">
        <v>3838</v>
      </c>
      <c r="B32" s="1046"/>
      <c r="C32" s="1046"/>
      <c r="D32" s="1046"/>
      <c r="E32" s="1050"/>
    </row>
    <row r="33" spans="1:11" ht="6" customHeight="1" thickBot="1"/>
    <row r="34" spans="1:11" s="707" customFormat="1" ht="24" customHeight="1" thickBot="1">
      <c r="A34" s="1064" t="s">
        <v>3834</v>
      </c>
      <c r="B34" s="1046"/>
      <c r="C34" s="1046"/>
      <c r="D34" s="1046"/>
      <c r="E34" s="1050" t="s">
        <v>3832</v>
      </c>
      <c r="K34" s="1065" t="e">
        <f>MIN(E13,K30)</f>
        <v>#REF!</v>
      </c>
    </row>
    <row r="35" spans="1:11" ht="6" customHeight="1"/>
    <row r="36" spans="1:11" s="707" customFormat="1" ht="15" customHeight="1">
      <c r="A36" s="1046" t="s">
        <v>3835</v>
      </c>
      <c r="E36" s="1050" t="s">
        <v>3833</v>
      </c>
      <c r="K36" s="1066">
        <f>Overview!C25</f>
        <v>11500000</v>
      </c>
    </row>
    <row r="37" spans="1:11" s="707" customFormat="1" ht="9" customHeight="1" thickBot="1">
      <c r="E37" s="1067"/>
      <c r="F37" s="1067"/>
      <c r="G37" s="1067"/>
      <c r="H37" s="1067"/>
      <c r="K37" s="1068"/>
    </row>
    <row r="38" spans="1:11" s="707" customFormat="1" ht="15.75" customHeight="1">
      <c r="A38" s="2378" t="s">
        <v>3829</v>
      </c>
      <c r="B38" s="2378"/>
      <c r="C38" s="2378"/>
      <c r="D38" s="2381" t="s">
        <v>3252</v>
      </c>
      <c r="E38" s="2381"/>
      <c r="F38" s="2381" t="s">
        <v>3253</v>
      </c>
      <c r="G38" s="2381"/>
      <c r="H38" s="2381"/>
      <c r="I38" s="1069" t="s">
        <v>2960</v>
      </c>
      <c r="K38" s="2371" t="e">
        <f ca="1">ROUND((D39/F39)*I39,0)</f>
        <v>#REF!</v>
      </c>
    </row>
    <row r="39" spans="1:11" s="707" customFormat="1" ht="15.75" customHeight="1" thickBot="1">
      <c r="A39" s="2378"/>
      <c r="B39" s="2378"/>
      <c r="C39" s="2378"/>
      <c r="D39" s="2380">
        <f>K36</f>
        <v>11500000</v>
      </c>
      <c r="E39" s="2380"/>
      <c r="F39" s="2379">
        <f ca="1">K28</f>
        <v>24195373.324578471</v>
      </c>
      <c r="G39" s="2379"/>
      <c r="H39" s="2379"/>
      <c r="I39" s="1070" t="e">
        <f>K19</f>
        <v>#REF!</v>
      </c>
      <c r="K39" s="2372"/>
    </row>
    <row r="40" spans="1:11" ht="12.75" customHeight="1">
      <c r="D40" s="1071" t="s">
        <v>3830</v>
      </c>
      <c r="H40" s="1071"/>
      <c r="I40" s="1071"/>
      <c r="K40" s="107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2" customWidth="1"/>
    <col min="2" max="2" width="0.85546875" style="662" customWidth="1"/>
    <col min="3" max="3" width="16.42578125" style="662" customWidth="1"/>
    <col min="4" max="4" width="18.140625" style="662" customWidth="1"/>
    <col min="5" max="5" width="16.42578125" style="662" customWidth="1"/>
    <col min="6" max="6" width="13.140625" style="662" customWidth="1"/>
    <col min="7" max="7" width="14.42578125" style="662" customWidth="1"/>
    <col min="8" max="8" width="5.85546875" style="662" customWidth="1"/>
    <col min="9" max="16384" width="9.140625" style="662"/>
  </cols>
  <sheetData>
    <row r="1" spans="1:13" ht="12" customHeight="1">
      <c r="A1" s="2382" t="str">
        <f>CONCATENATE(Overview!E8,"  ",Overview!C8)</f>
        <v>2016-524  Wheat Street Tower</v>
      </c>
      <c r="B1" s="2382"/>
      <c r="C1" s="2382"/>
      <c r="D1" s="2382"/>
      <c r="E1" s="2382"/>
      <c r="F1" s="2382"/>
      <c r="G1" s="2382"/>
      <c r="H1" s="2382"/>
    </row>
    <row r="3" spans="1:13" ht="12" customHeight="1">
      <c r="A3" s="2383" t="s">
        <v>3784</v>
      </c>
      <c r="B3" s="2383"/>
      <c r="C3" s="2383"/>
      <c r="D3" s="2383"/>
      <c r="E3" s="2383"/>
      <c r="F3" s="2383"/>
      <c r="G3" s="2383"/>
      <c r="H3" s="2383"/>
      <c r="I3" s="691"/>
      <c r="J3" s="664" t="s">
        <v>3258</v>
      </c>
      <c r="K3" s="664"/>
      <c r="L3" s="664"/>
      <c r="M3" s="664"/>
    </row>
    <row r="5" spans="1:13" ht="12" customHeight="1">
      <c r="A5" s="662">
        <v>1</v>
      </c>
      <c r="C5" s="662" t="s">
        <v>3259</v>
      </c>
      <c r="E5" s="692" t="str">
        <f>Overview!H9</f>
        <v xml:space="preserve">Wheat Street Senior, LP </v>
      </c>
    </row>
    <row r="6" spans="1:13" ht="3" customHeight="1">
      <c r="H6" s="881"/>
    </row>
    <row r="7" spans="1:13" ht="12" customHeight="1">
      <c r="A7" s="662">
        <v>2</v>
      </c>
      <c r="C7" s="662" t="s">
        <v>3260</v>
      </c>
      <c r="E7" s="692" t="str">
        <f>'Part II-Development Team'!H6</f>
        <v>6780 Roswell Road, Suite 200</v>
      </c>
    </row>
    <row r="8" spans="1:13" ht="12" customHeight="1">
      <c r="E8" s="692" t="str">
        <f>+'Part II-Development Team'!H7&amp;","&amp;" "&amp;'Part II-Development Team'!H8&amp;" "&amp;LEFT('Part II-Development Team'!J8,5)</f>
        <v>Atlanta, GA 30328</v>
      </c>
    </row>
    <row r="9" spans="1:13" ht="12" customHeight="1">
      <c r="C9" s="662" t="s">
        <v>3261</v>
      </c>
      <c r="E9" s="2384"/>
      <c r="F9" s="2384"/>
    </row>
    <row r="10" spans="1:13" ht="12" customHeight="1">
      <c r="C10" s="662" t="s">
        <v>3262</v>
      </c>
      <c r="E10" s="692" t="str">
        <f>'Part II-Development Team'!Q5</f>
        <v>Eddy Benoit, Jr.</v>
      </c>
    </row>
    <row r="11" spans="1:13" ht="12" customHeight="1">
      <c r="C11" s="662" t="s">
        <v>3263</v>
      </c>
      <c r="E11" s="692">
        <f>'Part II-Development Team'!O9</f>
        <v>0</v>
      </c>
    </row>
    <row r="12" spans="1:13" ht="12" customHeight="1">
      <c r="C12" s="662" t="s">
        <v>3264</v>
      </c>
      <c r="E12" s="701">
        <f>'Part II-Development Team'!H9</f>
        <v>6785145900</v>
      </c>
    </row>
    <row r="13" spans="1:13" ht="12" customHeight="1">
      <c r="C13" s="662" t="s">
        <v>3265</v>
      </c>
      <c r="E13" s="701" t="str">
        <f>'Part II-Development Team'!L9</f>
        <v>ebenoit@thebenoitgroup.com</v>
      </c>
    </row>
    <row r="14" spans="1:13" ht="3" customHeight="1"/>
    <row r="15" spans="1:13" ht="12" customHeight="1">
      <c r="A15" s="662">
        <v>3</v>
      </c>
      <c r="C15" s="662" t="s">
        <v>3266</v>
      </c>
      <c r="E15" s="692" t="str">
        <f>Overview!C8</f>
        <v>Wheat Street Tower</v>
      </c>
    </row>
    <row r="16" spans="1:13" ht="12" customHeight="1">
      <c r="C16" s="662" t="s">
        <v>3267</v>
      </c>
      <c r="E16" s="692" t="str">
        <f>'Part I-Project Information'!$F$25</f>
        <v>375 Auburn Avenue, NE</v>
      </c>
    </row>
    <row r="17" spans="1:8" ht="12" customHeight="1">
      <c r="E17" s="692" t="str">
        <f>+'Part I-Project Information'!$F$28&amp;","&amp;" "&amp;'Part I-Project Information'!$J$29&amp;" "&amp;LEFT('Part I-Project Information'!$J$28,5)</f>
        <v>Atlanta, Fulton 30312</v>
      </c>
    </row>
    <row r="18" spans="1:8" ht="3" customHeight="1"/>
    <row r="19" spans="1:8" ht="12" customHeight="1">
      <c r="A19" s="662">
        <v>4</v>
      </c>
      <c r="C19" s="662" t="s">
        <v>3268</v>
      </c>
      <c r="E19" s="692" t="str">
        <f>'Part II-Development Team'!H92</f>
        <v xml:space="preserve">Dorchester Management </v>
      </c>
    </row>
    <row r="20" spans="1:8" ht="12" customHeight="1">
      <c r="C20" s="662" t="s">
        <v>3269</v>
      </c>
      <c r="E20" s="692" t="str">
        <f>'Part II-Development Team'!H93</f>
        <v>6780 Roswell Road, Suite 200</v>
      </c>
    </row>
    <row r="21" spans="1:8" ht="12" customHeight="1">
      <c r="E21" s="692" t="str">
        <f>+'Part II-Development Team'!H94&amp;","&amp;" "&amp;'Part II-Development Team'!H95&amp;" "&amp;LEFT('Part II-Development Team'!J95,5)</f>
        <v xml:space="preserve">Atlanta, GA </v>
      </c>
    </row>
    <row r="22" spans="1:8" ht="12" customHeight="1">
      <c r="C22" s="662" t="s">
        <v>3264</v>
      </c>
      <c r="E22" s="701">
        <f>'Part II-Development Team'!H96</f>
        <v>6785145900</v>
      </c>
    </row>
    <row r="23" spans="1:8" ht="12" customHeight="1">
      <c r="C23" s="662" t="s">
        <v>3265</v>
      </c>
      <c r="E23" s="701" t="str">
        <f>'Part II-Development Team'!L96</f>
        <v>ebenoit@thebenoitgroup.com</v>
      </c>
    </row>
    <row r="24" spans="1:8" ht="12" customHeight="1">
      <c r="C24" s="662" t="s">
        <v>1866</v>
      </c>
      <c r="E24" s="701">
        <f>'Part II-Development Team'!O96</f>
        <v>0</v>
      </c>
    </row>
    <row r="25" spans="1:8" ht="3" customHeight="1">
      <c r="E25" s="692"/>
    </row>
    <row r="26" spans="1:8" ht="12" customHeight="1">
      <c r="A26" s="662">
        <v>5</v>
      </c>
      <c r="C26" s="662" t="s">
        <v>3270</v>
      </c>
      <c r="E26" s="692" t="str">
        <f>Overview!$H$7</f>
        <v>Acquisition/Rehabilitation</v>
      </c>
    </row>
    <row r="27" spans="1:8" ht="12" customHeight="1">
      <c r="E27" s="692" t="s">
        <v>1837</v>
      </c>
    </row>
    <row r="28" spans="1:8" ht="12" customHeight="1">
      <c r="C28" s="662" t="s">
        <v>3783</v>
      </c>
      <c r="E28" s="662" t="str">
        <f>Overview!$C$9</f>
        <v>&lt;&lt;Select&gt;&gt;</v>
      </c>
    </row>
    <row r="29" spans="1:8" ht="3" customHeight="1">
      <c r="H29" s="663"/>
    </row>
    <row r="30" spans="1:8" ht="12" customHeight="1">
      <c r="A30" s="662">
        <v>6</v>
      </c>
      <c r="C30" s="662" t="s">
        <v>3271</v>
      </c>
      <c r="E30" s="662" t="s">
        <v>2494</v>
      </c>
      <c r="F30" s="693">
        <f>'Part III-Sources of Funds'!L19</f>
        <v>11317799</v>
      </c>
      <c r="G30" s="662" t="s">
        <v>3272</v>
      </c>
    </row>
    <row r="31" spans="1:8" ht="12" customHeight="1">
      <c r="F31" s="693" t="s">
        <v>3273</v>
      </c>
      <c r="G31" s="662" t="s">
        <v>3274</v>
      </c>
    </row>
    <row r="32" spans="1:8" ht="3" customHeight="1">
      <c r="F32" s="669"/>
    </row>
    <row r="33" spans="1:7" ht="12" customHeight="1">
      <c r="A33" s="662">
        <v>7</v>
      </c>
      <c r="C33" s="662" t="s">
        <v>3275</v>
      </c>
      <c r="F33" s="695">
        <v>0</v>
      </c>
    </row>
    <row r="34" spans="1:7" ht="3" customHeight="1">
      <c r="F34" s="669"/>
    </row>
    <row r="35" spans="1:7" ht="12" customHeight="1">
      <c r="A35" s="662">
        <v>8</v>
      </c>
      <c r="C35" s="662" t="s">
        <v>3276</v>
      </c>
      <c r="E35" s="662" t="s">
        <v>2494</v>
      </c>
      <c r="F35" s="694">
        <v>0.01</v>
      </c>
    </row>
    <row r="36" spans="1:7" ht="3" customHeight="1">
      <c r="F36" s="695"/>
    </row>
    <row r="37" spans="1:7" ht="12" customHeight="1">
      <c r="A37" s="662">
        <v>9</v>
      </c>
      <c r="C37" s="662" t="s">
        <v>3277</v>
      </c>
      <c r="F37" s="696">
        <v>24</v>
      </c>
      <c r="G37" s="662" t="s">
        <v>3278</v>
      </c>
    </row>
    <row r="38" spans="1:7" ht="3" customHeight="1">
      <c r="F38" s="695"/>
    </row>
    <row r="39" spans="1:7" ht="12" customHeight="1">
      <c r="A39" s="662">
        <v>10</v>
      </c>
      <c r="C39" s="662" t="s">
        <v>3279</v>
      </c>
      <c r="E39" s="662" t="s">
        <v>2494</v>
      </c>
      <c r="F39" s="669">
        <f>'Part III-Sources of Funds'!L37*12</f>
        <v>480</v>
      </c>
      <c r="G39" s="662" t="s">
        <v>3278</v>
      </c>
    </row>
    <row r="40" spans="1:7" ht="3" customHeight="1">
      <c r="F40" s="669"/>
    </row>
    <row r="41" spans="1:7" ht="12" customHeight="1">
      <c r="A41" s="662">
        <v>11</v>
      </c>
      <c r="C41" s="662" t="s">
        <v>3280</v>
      </c>
      <c r="F41" s="702">
        <v>24</v>
      </c>
      <c r="G41" s="662" t="s">
        <v>3278</v>
      </c>
    </row>
    <row r="42" spans="1:7" ht="3" customHeight="1"/>
    <row r="43" spans="1:7" ht="12" customHeight="1">
      <c r="A43" s="662">
        <v>12</v>
      </c>
      <c r="C43" s="662" t="s">
        <v>3281</v>
      </c>
      <c r="F43" s="704" t="s">
        <v>3282</v>
      </c>
    </row>
    <row r="44" spans="1:7" ht="3" customHeight="1"/>
    <row r="45" spans="1:7" ht="12" customHeight="1">
      <c r="A45" s="662">
        <v>13</v>
      </c>
      <c r="C45" s="662" t="s">
        <v>3283</v>
      </c>
      <c r="E45" s="662" t="s">
        <v>2494</v>
      </c>
      <c r="F45" s="692" t="s">
        <v>3284</v>
      </c>
    </row>
    <row r="46" spans="1:7" ht="3" customHeight="1">
      <c r="F46" s="881"/>
    </row>
    <row r="47" spans="1:7" ht="12" customHeight="1">
      <c r="A47" s="662">
        <v>14</v>
      </c>
      <c r="C47" s="662" t="s">
        <v>3285</v>
      </c>
      <c r="E47" s="692" t="str">
        <f>'Part II-Development Team'!H14</f>
        <v>TBG Properties, LLC</v>
      </c>
    </row>
    <row r="48" spans="1:7" ht="3" customHeight="1">
      <c r="E48" s="692"/>
    </row>
    <row r="49" spans="1:7" ht="12" customHeight="1">
      <c r="A49" s="662">
        <v>15</v>
      </c>
      <c r="C49" s="662" t="s">
        <v>3286</v>
      </c>
      <c r="E49" s="692" t="str">
        <f>'Part II-Development Team'!Q98</f>
        <v>Alteha J. K. Broughton</v>
      </c>
    </row>
    <row r="50" spans="1:7" ht="12" customHeight="1">
      <c r="C50" s="662" t="s">
        <v>3287</v>
      </c>
      <c r="E50" s="692">
        <f>'Part II-Development Team'!O102</f>
        <v>0</v>
      </c>
      <c r="F50" s="669"/>
    </row>
    <row r="51" spans="1:7" ht="3" customHeight="1">
      <c r="F51" s="669"/>
    </row>
    <row r="52" spans="1:7" ht="12" customHeight="1">
      <c r="A52" s="662">
        <v>16</v>
      </c>
      <c r="C52" s="662" t="s">
        <v>3288</v>
      </c>
      <c r="F52" s="669" t="e">
        <f>#REF!</f>
        <v>#REF!</v>
      </c>
    </row>
    <row r="53" spans="1:7" ht="3" customHeight="1">
      <c r="F53" s="669"/>
    </row>
    <row r="54" spans="1:7" ht="12" customHeight="1">
      <c r="A54" s="697">
        <v>17</v>
      </c>
      <c r="B54" s="697"/>
      <c r="C54" s="697" t="s">
        <v>3289</v>
      </c>
      <c r="D54" s="697"/>
      <c r="E54" s="697"/>
      <c r="F54" s="866" t="e">
        <f>'Subsidy Layering WS'!D12</f>
        <v>#REF!</v>
      </c>
      <c r="G54" s="697"/>
    </row>
    <row r="55" spans="1:7" ht="3" customHeight="1">
      <c r="F55" s="669"/>
    </row>
    <row r="56" spans="1:7" ht="12" customHeight="1">
      <c r="A56" s="662">
        <v>18</v>
      </c>
      <c r="C56" s="662" t="s">
        <v>3290</v>
      </c>
      <c r="E56" s="662" t="s">
        <v>2598</v>
      </c>
      <c r="F56" s="669" t="e">
        <f>#REF!</f>
        <v>#REF!</v>
      </c>
    </row>
    <row r="57" spans="1:7" ht="3" customHeight="1">
      <c r="F57" s="669"/>
    </row>
    <row r="58" spans="1:7" ht="12" customHeight="1">
      <c r="A58" s="662">
        <v>19</v>
      </c>
      <c r="C58" s="662" t="s">
        <v>3291</v>
      </c>
      <c r="F58" s="703"/>
      <c r="G58" s="662" t="s">
        <v>3785</v>
      </c>
    </row>
    <row r="59" spans="1:7" ht="3" customHeight="1">
      <c r="F59" s="669"/>
    </row>
    <row r="60" spans="1:7" ht="12" customHeight="1">
      <c r="A60" s="662">
        <v>20</v>
      </c>
      <c r="C60" s="662" t="s">
        <v>3292</v>
      </c>
      <c r="F60" s="698">
        <f>'Part VII-Pro Forma'!$K$67</f>
        <v>7931433.0280331103</v>
      </c>
      <c r="G60" s="697">
        <v>300</v>
      </c>
    </row>
    <row r="61" spans="1:7" ht="3" customHeight="1"/>
    <row r="62" spans="1:7" ht="12" customHeight="1">
      <c r="A62" s="662">
        <v>21</v>
      </c>
      <c r="C62" s="662" t="s">
        <v>3803</v>
      </c>
      <c r="E62" s="664" t="s">
        <v>3786</v>
      </c>
      <c r="F62" s="867" t="s">
        <v>3787</v>
      </c>
      <c r="G62" s="664" t="s">
        <v>3293</v>
      </c>
    </row>
    <row r="63" spans="1:7" ht="12" customHeight="1">
      <c r="E63" s="664" t="s">
        <v>3786</v>
      </c>
      <c r="F63" s="867" t="s">
        <v>3787</v>
      </c>
      <c r="G63" s="664"/>
    </row>
    <row r="64" spans="1:7" ht="3" customHeight="1"/>
    <row r="65" spans="1:6" ht="12" customHeight="1">
      <c r="A65" s="662">
        <v>22</v>
      </c>
      <c r="C65" s="662" t="s">
        <v>3294</v>
      </c>
      <c r="E65" s="692" t="str">
        <f>Overview!H9</f>
        <v xml:space="preserve">Wheat Street Senior, LP </v>
      </c>
    </row>
    <row r="66" spans="1:6" ht="3" customHeight="1"/>
    <row r="67" spans="1:6" ht="12" customHeight="1">
      <c r="A67" s="662">
        <v>23</v>
      </c>
      <c r="C67" s="662" t="s">
        <v>3295</v>
      </c>
      <c r="F67" s="669" t="s">
        <v>3296</v>
      </c>
    </row>
    <row r="68" spans="1:6" ht="3" customHeight="1"/>
    <row r="69" spans="1:6" ht="12" customHeight="1">
      <c r="A69" s="662">
        <v>24</v>
      </c>
      <c r="C69" s="662" t="s">
        <v>3297</v>
      </c>
      <c r="E69" s="662" t="s">
        <v>2494</v>
      </c>
      <c r="F69" s="669">
        <v>20</v>
      </c>
    </row>
    <row r="70" spans="1:6" ht="3" customHeight="1"/>
    <row r="71" spans="1:6" ht="12" customHeight="1">
      <c r="A71" s="662">
        <v>25</v>
      </c>
      <c r="C71" s="662" t="s">
        <v>3298</v>
      </c>
      <c r="F71" s="699">
        <f>'Part IV-Uses of Funds'!$G$121</f>
        <v>1035940</v>
      </c>
    </row>
    <row r="72" spans="1:6" ht="3" customHeight="1">
      <c r="F72" s="699"/>
    </row>
    <row r="73" spans="1:6" ht="12" customHeight="1">
      <c r="A73" s="662">
        <v>26</v>
      </c>
      <c r="C73" s="662" t="s">
        <v>3299</v>
      </c>
      <c r="F73" s="699">
        <f>'Part IV-Uses of Funds'!$G$122</f>
        <v>0</v>
      </c>
    </row>
    <row r="74" spans="1:6" ht="3" customHeight="1">
      <c r="F74" s="699"/>
    </row>
    <row r="75" spans="1:6" ht="12" customHeight="1">
      <c r="A75" s="662">
        <v>27</v>
      </c>
      <c r="C75" s="662" t="s">
        <v>3300</v>
      </c>
      <c r="F75" s="700">
        <f>'Part IV-Uses of Funds'!$G$120</f>
        <v>386556.5</v>
      </c>
    </row>
    <row r="76" spans="1:6" ht="3" customHeight="1">
      <c r="F76" s="699"/>
    </row>
    <row r="77" spans="1:6" ht="12" customHeight="1">
      <c r="A77" s="662">
        <v>28</v>
      </c>
      <c r="C77" s="662" t="s">
        <v>3301</v>
      </c>
      <c r="F77" s="70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6" customWidth="1"/>
    <col min="2" max="2" width="11" style="1026" customWidth="1"/>
    <col min="3" max="3" width="31.140625" style="1026" customWidth="1"/>
    <col min="4" max="4" width="14" style="1026" customWidth="1"/>
    <col min="5" max="5" width="13" style="1026" customWidth="1"/>
    <col min="6" max="6" width="10.85546875" style="1026" customWidth="1"/>
    <col min="7" max="8" width="9.7109375" style="1026" customWidth="1"/>
    <col min="9" max="10" width="2.28515625" style="1026" customWidth="1"/>
    <col min="11" max="16384" width="9.140625" style="1026"/>
  </cols>
  <sheetData>
    <row r="1" spans="1:10" ht="15">
      <c r="A1" s="2385" t="s">
        <v>3505</v>
      </c>
      <c r="B1" s="2385"/>
      <c r="C1" s="2385"/>
      <c r="D1" s="2385"/>
      <c r="E1" s="2385"/>
      <c r="F1" s="2385"/>
      <c r="G1" s="2385"/>
      <c r="H1" s="2385"/>
      <c r="I1" s="2385"/>
      <c r="J1" s="2385"/>
    </row>
    <row r="2" spans="1:10" ht="15">
      <c r="A2" s="2385" t="str">
        <f>Overview!E8&amp;"  "&amp;Overview!C8</f>
        <v>2016-524  Wheat Street Tower</v>
      </c>
      <c r="B2" s="2385"/>
      <c r="C2" s="2385"/>
      <c r="D2" s="2385"/>
      <c r="E2" s="2385"/>
      <c r="F2" s="2385"/>
      <c r="G2" s="2385"/>
      <c r="H2" s="2385"/>
      <c r="I2" s="2385"/>
      <c r="J2" s="2385"/>
    </row>
    <row r="3" spans="1:10" ht="6" customHeight="1"/>
    <row r="4" spans="1:10" ht="12" customHeight="1">
      <c r="A4" s="1072" t="s">
        <v>3302</v>
      </c>
    </row>
    <row r="5" spans="1:10" ht="12" customHeight="1">
      <c r="A5" s="1026" t="s">
        <v>3303</v>
      </c>
      <c r="C5" s="1073" t="str">
        <f>'Subsidy Layering Memo'!D6</f>
        <v>(Underwriter)</v>
      </c>
      <c r="F5" s="2388" t="s">
        <v>3258</v>
      </c>
      <c r="G5" s="2388"/>
      <c r="H5" s="2388"/>
      <c r="I5" s="1073"/>
    </row>
    <row r="6" spans="1:10" ht="6" customHeight="1">
      <c r="C6" s="959"/>
      <c r="D6" s="1073"/>
      <c r="I6" s="1073"/>
    </row>
    <row r="7" spans="1:10" ht="12" customHeight="1">
      <c r="A7" s="1072" t="s">
        <v>3304</v>
      </c>
      <c r="C7" s="959"/>
      <c r="D7" s="1073"/>
      <c r="I7" s="1073"/>
    </row>
    <row r="8" spans="1:10" ht="12" customHeight="1">
      <c r="A8" s="1026" t="s">
        <v>3305</v>
      </c>
      <c r="C8" s="1073" t="str">
        <f>Overview!$H$9</f>
        <v xml:space="preserve">Wheat Street Senior, LP </v>
      </c>
      <c r="I8" s="1073"/>
    </row>
    <row r="9" spans="1:10" ht="3" customHeight="1">
      <c r="C9" s="959"/>
      <c r="D9" s="1073"/>
      <c r="I9" s="1073"/>
    </row>
    <row r="10" spans="1:10" ht="12" customHeight="1">
      <c r="A10" s="1026" t="s">
        <v>3306</v>
      </c>
      <c r="C10" s="959" t="s">
        <v>1837</v>
      </c>
      <c r="I10" s="1073"/>
    </row>
    <row r="11" spans="1:10" ht="12" customHeight="1">
      <c r="C11" s="959" t="s">
        <v>1837</v>
      </c>
      <c r="I11" s="1073"/>
    </row>
    <row r="12" spans="1:10" ht="12" customHeight="1">
      <c r="C12" s="1073" t="s">
        <v>2773</v>
      </c>
      <c r="D12" s="1074" t="s">
        <v>1837</v>
      </c>
      <c r="I12" s="1073"/>
    </row>
    <row r="13" spans="1:10" ht="12" customHeight="1">
      <c r="C13" s="1073" t="s">
        <v>3307</v>
      </c>
      <c r="D13" s="1075"/>
      <c r="I13" s="1073"/>
    </row>
    <row r="14" spans="1:10" ht="3" customHeight="1">
      <c r="G14" s="959"/>
      <c r="H14" s="1073"/>
      <c r="I14" s="1073"/>
    </row>
    <row r="15" spans="1:10" ht="12" customHeight="1">
      <c r="A15" s="1026" t="s">
        <v>3308</v>
      </c>
      <c r="C15" s="1076" t="str">
        <f>'Part II-Development Team'!$Q$5</f>
        <v>Eddy Benoit, Jr.</v>
      </c>
      <c r="G15" s="959"/>
      <c r="I15" s="1073"/>
    </row>
    <row r="16" spans="1:10" ht="12" customHeight="1">
      <c r="A16" s="1077" t="s">
        <v>2055</v>
      </c>
      <c r="C16" s="1076" t="str">
        <f>'Part II-Development Team'!$Q$6</f>
        <v>Manager</v>
      </c>
      <c r="G16" s="959"/>
      <c r="I16" s="1073"/>
    </row>
    <row r="17" spans="1:9" ht="3" customHeight="1">
      <c r="G17" s="959"/>
      <c r="H17" s="1073"/>
      <c r="I17" s="1073"/>
    </row>
    <row r="18" spans="1:9" ht="12" customHeight="1">
      <c r="A18" s="1026" t="s">
        <v>3309</v>
      </c>
      <c r="C18" s="1076" t="str">
        <f>'Preview term'!$E$7</f>
        <v>6780 Roswell Road, Suite 200</v>
      </c>
      <c r="G18" s="959"/>
      <c r="I18" s="1073"/>
    </row>
    <row r="19" spans="1:9" ht="12" customHeight="1">
      <c r="C19" s="1076" t="str">
        <f>'Preview term'!$E$8</f>
        <v>Atlanta, GA 30328</v>
      </c>
      <c r="G19" s="959"/>
      <c r="I19" s="1073"/>
    </row>
    <row r="20" spans="1:9" ht="3" customHeight="1">
      <c r="G20" s="959"/>
      <c r="H20" s="1073"/>
      <c r="I20" s="1073"/>
    </row>
    <row r="21" spans="1:9" ht="12" customHeight="1">
      <c r="A21" s="1026" t="s">
        <v>3310</v>
      </c>
      <c r="C21" s="1076" t="str">
        <f>'Preview term'!$E$49</f>
        <v>Alteha J. K. Broughton</v>
      </c>
      <c r="G21" s="959"/>
      <c r="I21" s="1073"/>
    </row>
    <row r="22" spans="1:9" ht="3" customHeight="1">
      <c r="C22" s="1076"/>
      <c r="G22" s="959"/>
      <c r="I22" s="1073"/>
    </row>
    <row r="23" spans="1:9" ht="12" customHeight="1">
      <c r="A23" s="1026" t="s">
        <v>3311</v>
      </c>
      <c r="C23" s="1076">
        <f>'Part II-Development Team'!$H$102</f>
        <v>4048738500</v>
      </c>
      <c r="G23" s="959"/>
      <c r="I23" s="1073"/>
    </row>
    <row r="24" spans="1:9" ht="3" customHeight="1">
      <c r="C24" s="1076"/>
      <c r="G24" s="959"/>
      <c r="I24" s="1073"/>
    </row>
    <row r="25" spans="1:9" ht="12" customHeight="1">
      <c r="A25" s="1026" t="s">
        <v>3312</v>
      </c>
      <c r="C25" s="868">
        <f>'Preview term'!$E$50</f>
        <v>0</v>
      </c>
      <c r="G25" s="959"/>
    </row>
    <row r="26" spans="1:9" ht="6" customHeight="1">
      <c r="G26" s="959"/>
      <c r="H26" s="1073"/>
      <c r="I26" s="1073"/>
    </row>
    <row r="27" spans="1:9" ht="12" customHeight="1">
      <c r="A27" s="1072" t="s">
        <v>3313</v>
      </c>
      <c r="G27" s="959"/>
      <c r="H27" s="1073"/>
      <c r="I27" s="1073"/>
    </row>
    <row r="28" spans="1:9" ht="12" customHeight="1">
      <c r="A28" s="1026" t="s">
        <v>3314</v>
      </c>
      <c r="C28" s="1076" t="str">
        <f>Overview!$C$8</f>
        <v>Wheat Street Tower</v>
      </c>
      <c r="I28" s="1073"/>
    </row>
    <row r="29" spans="1:9" ht="3" customHeight="1">
      <c r="C29" s="1076"/>
      <c r="I29" s="1073"/>
    </row>
    <row r="30" spans="1:9" ht="12" customHeight="1">
      <c r="A30" s="1026" t="s">
        <v>3315</v>
      </c>
      <c r="C30" s="1076" t="str">
        <f>'Preview term'!E16</f>
        <v>375 Auburn Avenue, NE</v>
      </c>
      <c r="I30" s="1073"/>
    </row>
    <row r="31" spans="1:9">
      <c r="C31" s="1073" t="str">
        <f>'Preview term'!E17</f>
        <v>Atlanta, Fulton 30312</v>
      </c>
      <c r="I31" s="1073"/>
    </row>
    <row r="32" spans="1:9" ht="3" customHeight="1">
      <c r="C32" s="959"/>
      <c r="D32" s="959"/>
      <c r="I32" s="959"/>
    </row>
    <row r="33" spans="1:10" ht="12" customHeight="1">
      <c r="A33" s="1026" t="s">
        <v>3316</v>
      </c>
      <c r="C33" s="959" t="s">
        <v>3317</v>
      </c>
      <c r="D33" s="1078" t="e">
        <f>'Preview term'!F54</f>
        <v>#REF!</v>
      </c>
      <c r="I33" s="959"/>
    </row>
    <row r="34" spans="1:10" ht="12" customHeight="1">
      <c r="C34" s="959" t="s">
        <v>3318</v>
      </c>
      <c r="D34" s="1079" t="e">
        <f>#REF!+#REF!</f>
        <v>#REF!</v>
      </c>
      <c r="I34" s="959"/>
    </row>
    <row r="35" spans="1:10" ht="12" customHeight="1">
      <c r="C35" s="959" t="s">
        <v>3319</v>
      </c>
      <c r="D35" s="1080" t="e">
        <f>SUM(D33:D34)</f>
        <v>#REF!</v>
      </c>
      <c r="I35" s="959"/>
    </row>
    <row r="36" spans="1:10" ht="3" customHeight="1">
      <c r="C36" s="959"/>
      <c r="D36" s="959"/>
      <c r="I36" s="959"/>
    </row>
    <row r="37" spans="1:10" ht="12" customHeight="1">
      <c r="A37" s="1026" t="s">
        <v>3320</v>
      </c>
      <c r="C37" s="959" t="s">
        <v>3154</v>
      </c>
      <c r="D37" s="1081"/>
      <c r="I37" s="959"/>
    </row>
    <row r="38" spans="1:10" ht="12" customHeight="1">
      <c r="C38" s="959" t="s">
        <v>3157</v>
      </c>
      <c r="D38" s="1082"/>
      <c r="I38" s="959"/>
    </row>
    <row r="39" spans="1:10" ht="12" customHeight="1">
      <c r="C39" s="959" t="s">
        <v>3321</v>
      </c>
      <c r="D39" s="1083" t="e">
        <f>#REF!</f>
        <v>#REF!</v>
      </c>
      <c r="I39" s="959"/>
    </row>
    <row r="40" spans="1:10" ht="3" customHeight="1">
      <c r="G40" s="1084"/>
      <c r="H40" s="959"/>
      <c r="I40" s="959"/>
    </row>
    <row r="41" spans="1:10" ht="25.5" customHeight="1">
      <c r="A41" s="1085" t="s">
        <v>3322</v>
      </c>
      <c r="C41" s="239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Gazebo, On-site laundry, Equipped Computer Room, Equipped Fitness Center, Equipped Arts and Crafts Room, Covered Porch</v>
      </c>
      <c r="D41" s="2391"/>
      <c r="E41" s="2391"/>
      <c r="F41" s="2391"/>
      <c r="G41" s="2391"/>
      <c r="H41" s="2391"/>
      <c r="I41" s="2391"/>
      <c r="J41" s="2391"/>
    </row>
    <row r="42" spans="1:10" ht="3" customHeight="1">
      <c r="G42" s="959"/>
      <c r="H42" s="959"/>
      <c r="I42" s="959"/>
    </row>
    <row r="43" spans="1:10" ht="25.5" customHeight="1">
      <c r="A43" s="1085" t="s">
        <v>3323</v>
      </c>
      <c r="C43" s="2392" t="s">
        <v>3788</v>
      </c>
      <c r="D43" s="2392"/>
      <c r="E43" s="2392"/>
      <c r="F43" s="2392"/>
      <c r="G43" s="2392"/>
      <c r="H43" s="2392"/>
      <c r="I43" s="2392"/>
      <c r="J43" s="2392"/>
    </row>
    <row r="44" spans="1:10" ht="3" customHeight="1">
      <c r="C44" s="705"/>
      <c r="D44" s="705"/>
      <c r="E44" s="705"/>
      <c r="F44" s="705"/>
      <c r="G44" s="705"/>
      <c r="H44" s="706"/>
      <c r="I44" s="707"/>
      <c r="J44" s="706"/>
    </row>
    <row r="45" spans="1:10" ht="12" customHeight="1">
      <c r="A45" s="1026" t="s">
        <v>3324</v>
      </c>
      <c r="C45" s="869" t="str">
        <f>'Part I-Project Information'!$J$29</f>
        <v>Fulton</v>
      </c>
      <c r="D45" s="705"/>
      <c r="F45" s="706"/>
      <c r="I45" s="707"/>
      <c r="J45" s="706"/>
    </row>
    <row r="46" spans="1:10" ht="3" customHeight="1">
      <c r="C46" s="705"/>
      <c r="D46" s="705"/>
      <c r="E46" s="705"/>
      <c r="F46" s="706"/>
      <c r="I46" s="707"/>
      <c r="J46" s="706"/>
    </row>
    <row r="47" spans="1:10" ht="12" customHeight="1">
      <c r="A47" s="1026" t="s">
        <v>3325</v>
      </c>
      <c r="C47" s="959" t="str">
        <f>IF(Overview!C14="Family", "No",IF(Overview!C14="Elderly", "Yes - Age 62 election (Elderly)",IF(Overview!C14="HFOP", "Yes - Age 55 election (HFOP)",IF(Overview!C14="Other", "Other:  "&amp;'Part I-Project Information'!$N$67,'Part I-Project Information'!$H$67))))</f>
        <v>Yes - Age 62 election (Elderly)</v>
      </c>
      <c r="I47" s="707"/>
      <c r="J47" s="706"/>
    </row>
    <row r="48" spans="1:10" ht="3" customHeight="1">
      <c r="C48" s="959"/>
      <c r="D48" s="1086"/>
      <c r="I48" s="959"/>
    </row>
    <row r="49" spans="1:10" ht="12" customHeight="1">
      <c r="A49" s="1026" t="s">
        <v>3326</v>
      </c>
      <c r="C49" s="959" t="s">
        <v>3327</v>
      </c>
      <c r="D49" s="1087">
        <v>2</v>
      </c>
      <c r="I49" s="1088"/>
      <c r="J49" s="1088"/>
    </row>
    <row r="50" spans="1:10" ht="3" customHeight="1">
      <c r="D50" s="1088"/>
      <c r="E50" s="1088"/>
      <c r="F50" s="1088"/>
      <c r="G50" s="1089"/>
      <c r="H50" s="959"/>
      <c r="I50" s="1088"/>
      <c r="J50" s="1088"/>
    </row>
    <row r="51" spans="1:10" ht="12" customHeight="1">
      <c r="B51" s="1026" t="s">
        <v>3328</v>
      </c>
      <c r="C51" s="2392" t="s">
        <v>596</v>
      </c>
      <c r="D51" s="2392"/>
      <c r="E51" s="2392"/>
      <c r="F51" s="2392"/>
      <c r="G51" s="2392"/>
      <c r="H51" s="2392"/>
      <c r="I51" s="2392"/>
      <c r="J51" s="2392"/>
    </row>
    <row r="52" spans="1:10" ht="12" customHeight="1">
      <c r="C52" s="2393" t="s">
        <v>1876</v>
      </c>
      <c r="D52" s="2393"/>
      <c r="E52" s="2393"/>
      <c r="F52" s="2393"/>
      <c r="G52" s="2393"/>
      <c r="H52" s="2393"/>
      <c r="I52" s="2393"/>
      <c r="J52" s="2393"/>
    </row>
    <row r="53" spans="1:10" ht="3" customHeight="1">
      <c r="D53" s="1088"/>
      <c r="E53" s="1088"/>
      <c r="F53" s="1088"/>
      <c r="G53" s="1089"/>
      <c r="H53" s="959"/>
      <c r="I53" s="1088"/>
      <c r="J53" s="1088"/>
    </row>
    <row r="54" spans="1:10" ht="25.5" customHeight="1">
      <c r="A54" s="1085" t="s">
        <v>3329</v>
      </c>
      <c r="B54" s="1085"/>
      <c r="C54" s="1090" t="s">
        <v>3330</v>
      </c>
      <c r="D54" s="1090" t="s">
        <v>3789</v>
      </c>
      <c r="E54" s="2394"/>
      <c r="F54" s="2394"/>
      <c r="G54" s="2394"/>
      <c r="H54" s="2394"/>
      <c r="I54" s="2394"/>
      <c r="J54" s="2394"/>
    </row>
    <row r="55" spans="1:10" ht="12" customHeight="1">
      <c r="A55" s="1085"/>
      <c r="B55" s="1085"/>
      <c r="C55" s="1085"/>
      <c r="D55" s="1090" t="s">
        <v>3790</v>
      </c>
      <c r="E55" s="2395"/>
      <c r="F55" s="2395"/>
      <c r="G55" s="2395"/>
      <c r="H55" s="2395"/>
      <c r="I55" s="2395"/>
      <c r="J55" s="2395"/>
    </row>
    <row r="56" spans="1:10" ht="12" customHeight="1">
      <c r="A56" s="1072" t="s">
        <v>3331</v>
      </c>
      <c r="G56" s="959"/>
      <c r="H56" s="959"/>
      <c r="I56" s="959"/>
    </row>
    <row r="57" spans="1:10" ht="18" customHeight="1">
      <c r="A57" s="1026" t="s">
        <v>3332</v>
      </c>
      <c r="C57" s="1074" t="str">
        <f>Overview!C10</f>
        <v>TBG Properties, LLC</v>
      </c>
      <c r="G57" s="959"/>
      <c r="I57" s="959"/>
    </row>
    <row r="58" spans="1:10" ht="3" customHeight="1">
      <c r="C58" s="1074"/>
      <c r="G58" s="959"/>
      <c r="I58" s="959"/>
    </row>
    <row r="59" spans="1:10" ht="12" customHeight="1">
      <c r="A59" s="1026" t="s">
        <v>3333</v>
      </c>
      <c r="C59" s="1074" t="str">
        <f>Overview!C11</f>
        <v>Wheat Street Towers, LLC</v>
      </c>
      <c r="G59" s="959"/>
      <c r="I59" s="959"/>
    </row>
    <row r="60" spans="1:10" ht="3" customHeight="1">
      <c r="C60" s="1074"/>
      <c r="G60" s="959"/>
      <c r="I60" s="959"/>
    </row>
    <row r="61" spans="1:10" ht="12" customHeight="1">
      <c r="A61" s="1026" t="s">
        <v>3334</v>
      </c>
      <c r="C61" s="1074" t="s">
        <v>2948</v>
      </c>
      <c r="G61" s="959"/>
      <c r="I61" s="959"/>
    </row>
    <row r="62" spans="1:10" ht="6" customHeight="1">
      <c r="G62" s="959"/>
      <c r="H62" s="959"/>
      <c r="I62" s="959"/>
    </row>
    <row r="63" spans="1:10" ht="12" customHeight="1">
      <c r="A63" s="1072" t="s">
        <v>3335</v>
      </c>
      <c r="G63" s="959"/>
      <c r="H63" s="959"/>
      <c r="I63" s="959"/>
    </row>
    <row r="64" spans="1:10" ht="12" customHeight="1">
      <c r="A64" s="1026" t="s">
        <v>3336</v>
      </c>
      <c r="C64" s="1026" t="s">
        <v>3337</v>
      </c>
      <c r="D64" s="1091">
        <f>'Preview term'!F30</f>
        <v>11317799</v>
      </c>
      <c r="G64" s="959"/>
      <c r="I64" s="959"/>
    </row>
    <row r="65" spans="1:10" ht="3" customHeight="1">
      <c r="D65" s="1092"/>
      <c r="G65" s="959"/>
      <c r="H65" s="1093"/>
      <c r="I65" s="959"/>
    </row>
    <row r="66" spans="1:10" ht="12" customHeight="1">
      <c r="A66" s="1026" t="s">
        <v>3338</v>
      </c>
      <c r="C66" s="1026" t="s">
        <v>3340</v>
      </c>
      <c r="D66" s="1074" t="s">
        <v>3339</v>
      </c>
      <c r="G66" s="959"/>
      <c r="I66" s="959"/>
    </row>
    <row r="67" spans="1:10" ht="3" customHeight="1">
      <c r="D67" s="1092"/>
      <c r="G67" s="959"/>
      <c r="H67" s="959"/>
      <c r="I67" s="959"/>
    </row>
    <row r="68" spans="1:10" ht="12" customHeight="1">
      <c r="A68" s="1026" t="s">
        <v>3341</v>
      </c>
      <c r="C68" s="959" t="s">
        <v>1837</v>
      </c>
      <c r="D68" s="1092"/>
      <c r="I68" s="959"/>
    </row>
    <row r="69" spans="1:10" ht="12" customHeight="1">
      <c r="C69" s="1026" t="s">
        <v>3342</v>
      </c>
      <c r="D69" s="1075"/>
      <c r="I69" s="959"/>
    </row>
    <row r="70" spans="1:10" ht="12" customHeight="1">
      <c r="C70" s="1026" t="s">
        <v>3307</v>
      </c>
      <c r="D70" s="1075"/>
      <c r="I70" s="959"/>
    </row>
    <row r="71" spans="1:10" ht="3" customHeight="1">
      <c r="D71" s="1092"/>
      <c r="E71" s="959"/>
      <c r="F71" s="959"/>
      <c r="I71" s="959"/>
    </row>
    <row r="72" spans="1:10" ht="12" customHeight="1">
      <c r="A72" s="1026" t="s">
        <v>3343</v>
      </c>
      <c r="C72" s="1026" t="s">
        <v>2494</v>
      </c>
      <c r="D72" s="1074" t="s">
        <v>1837</v>
      </c>
      <c r="I72" s="959"/>
    </row>
    <row r="73" spans="1:10" ht="3" customHeight="1">
      <c r="D73" s="959"/>
      <c r="E73" s="959"/>
      <c r="I73" s="959"/>
    </row>
    <row r="74" spans="1:10" ht="12" customHeight="1">
      <c r="A74" s="1026" t="s">
        <v>3344</v>
      </c>
      <c r="C74" s="959" t="s">
        <v>1837</v>
      </c>
      <c r="I74" s="959"/>
    </row>
    <row r="75" spans="1:10" ht="3" customHeight="1">
      <c r="C75" s="1092"/>
      <c r="G75" s="1094"/>
      <c r="H75" s="959"/>
      <c r="I75" s="959"/>
    </row>
    <row r="76" spans="1:10" ht="12" customHeight="1">
      <c r="A76" s="1026" t="s">
        <v>3345</v>
      </c>
      <c r="C76" s="1092" t="s">
        <v>3346</v>
      </c>
      <c r="D76" s="1095">
        <v>0</v>
      </c>
      <c r="J76" s="959"/>
    </row>
    <row r="77" spans="1:10" ht="12" customHeight="1">
      <c r="C77" s="1096" t="s">
        <v>3517</v>
      </c>
      <c r="D77" s="1097">
        <v>0.01</v>
      </c>
      <c r="J77" s="959"/>
    </row>
    <row r="78" spans="1:10" ht="3" customHeight="1">
      <c r="C78" s="1092"/>
      <c r="D78" s="1092"/>
      <c r="G78" s="959"/>
      <c r="H78" s="959"/>
      <c r="I78" s="959"/>
    </row>
    <row r="79" spans="1:10" ht="12" customHeight="1">
      <c r="A79" s="1026" t="s">
        <v>3347</v>
      </c>
      <c r="C79" s="1092" t="s">
        <v>3846</v>
      </c>
      <c r="D79" s="1098">
        <v>24</v>
      </c>
      <c r="I79" s="959"/>
    </row>
    <row r="80" spans="1:10" ht="3" customHeight="1">
      <c r="D80" s="1092"/>
      <c r="E80" s="959"/>
      <c r="F80" s="959"/>
      <c r="I80" s="959"/>
    </row>
    <row r="81" spans="1:9" ht="12" customHeight="1">
      <c r="A81" s="1026" t="s">
        <v>3348</v>
      </c>
      <c r="C81" s="1026" t="s">
        <v>2494</v>
      </c>
      <c r="D81" s="1099">
        <f>'Preview term'!F39</f>
        <v>480</v>
      </c>
      <c r="E81" s="959" t="s">
        <v>3795</v>
      </c>
      <c r="I81" s="959"/>
    </row>
    <row r="82" spans="1:9" ht="3" customHeight="1">
      <c r="D82" s="1092"/>
      <c r="G82" s="959"/>
      <c r="H82" s="959"/>
      <c r="I82" s="959"/>
    </row>
    <row r="83" spans="1:9" ht="12" customHeight="1">
      <c r="A83" s="1026" t="s">
        <v>3349</v>
      </c>
      <c r="D83" s="1100">
        <v>0</v>
      </c>
      <c r="E83" s="1101">
        <f>D83*12</f>
        <v>0</v>
      </c>
      <c r="F83" s="959" t="s">
        <v>3847</v>
      </c>
    </row>
    <row r="84" spans="1:9" ht="3" customHeight="1">
      <c r="D84" s="1074"/>
      <c r="E84" s="959"/>
      <c r="G84" s="959"/>
    </row>
    <row r="85" spans="1:9" ht="12" customHeight="1">
      <c r="A85" s="1026" t="s">
        <v>3350</v>
      </c>
      <c r="D85" s="1102" t="s">
        <v>3339</v>
      </c>
      <c r="E85" s="959" t="s">
        <v>3351</v>
      </c>
      <c r="G85" s="959"/>
    </row>
    <row r="86" spans="1:9" ht="3" customHeight="1">
      <c r="G86" s="959"/>
      <c r="H86" s="959"/>
      <c r="I86" s="959"/>
    </row>
    <row r="87" spans="1:9" ht="12" customHeight="1">
      <c r="A87" s="1026" t="s">
        <v>3352</v>
      </c>
      <c r="C87" s="1091">
        <f>'Part VII-Pro Forma'!$K$67</f>
        <v>7931433.0280331103</v>
      </c>
      <c r="D87" s="1103" t="s">
        <v>3791</v>
      </c>
      <c r="I87" s="959"/>
    </row>
    <row r="88" spans="1:9" ht="3" customHeight="1">
      <c r="C88" s="959" t="s">
        <v>1837</v>
      </c>
      <c r="D88" s="959"/>
      <c r="E88" s="959"/>
      <c r="I88" s="959"/>
    </row>
    <row r="89" spans="1:9" ht="12" customHeight="1">
      <c r="A89" s="1026" t="s">
        <v>3353</v>
      </c>
      <c r="B89" s="1104"/>
      <c r="C89" s="959" t="s">
        <v>3354</v>
      </c>
      <c r="I89" s="959"/>
    </row>
    <row r="90" spans="1:9" ht="3" customHeight="1">
      <c r="G90" s="959"/>
      <c r="H90" s="959"/>
      <c r="I90" s="959"/>
    </row>
    <row r="91" spans="1:9" ht="12" customHeight="1">
      <c r="A91" s="1026" t="s">
        <v>3355</v>
      </c>
      <c r="C91" s="1092" t="s">
        <v>3356</v>
      </c>
      <c r="D91" s="1074" t="s">
        <v>3282</v>
      </c>
      <c r="I91" s="959"/>
    </row>
    <row r="92" spans="1:9" ht="12" customHeight="1">
      <c r="C92" s="1092" t="s">
        <v>3357</v>
      </c>
      <c r="D92" s="1074" t="s">
        <v>3339</v>
      </c>
      <c r="I92" s="959"/>
    </row>
    <row r="93" spans="1:9" ht="3" customHeight="1">
      <c r="G93" s="959"/>
      <c r="H93" s="959"/>
      <c r="I93" s="959"/>
    </row>
    <row r="94" spans="1:9" ht="12" customHeight="1">
      <c r="A94" s="1026" t="s">
        <v>3358</v>
      </c>
      <c r="C94" s="1092" t="s">
        <v>3346</v>
      </c>
      <c r="D94" s="959" t="s">
        <v>3359</v>
      </c>
      <c r="E94" s="1092" t="str">
        <f>'Part III-Sources of Funds'!H19</f>
        <v>Prudential</v>
      </c>
      <c r="I94" s="959"/>
    </row>
    <row r="95" spans="1:9" ht="12" customHeight="1">
      <c r="C95" s="1092"/>
      <c r="D95" s="959"/>
      <c r="E95" s="1092" t="s">
        <v>1863</v>
      </c>
      <c r="F95" s="2399"/>
      <c r="G95" s="2399"/>
      <c r="H95" s="2399"/>
      <c r="I95" s="959"/>
    </row>
    <row r="96" spans="1:9" ht="12" customHeight="1">
      <c r="C96" s="1092"/>
      <c r="D96" s="959"/>
      <c r="E96" s="1092" t="s">
        <v>2057</v>
      </c>
      <c r="F96" s="2398"/>
      <c r="G96" s="2398"/>
      <c r="H96" s="2398"/>
      <c r="I96" s="959"/>
    </row>
    <row r="97" spans="1:10" ht="12" customHeight="1">
      <c r="C97" s="1092"/>
      <c r="D97" s="959"/>
      <c r="E97" s="1092" t="s">
        <v>1866</v>
      </c>
      <c r="F97" s="2397"/>
      <c r="G97" s="2397"/>
      <c r="H97" s="2397"/>
      <c r="I97" s="959"/>
    </row>
    <row r="98" spans="1:10" ht="12" customHeight="1">
      <c r="B98" s="1077" t="s">
        <v>3360</v>
      </c>
      <c r="C98" s="1096" t="s">
        <v>3517</v>
      </c>
      <c r="D98" s="959" t="s">
        <v>3359</v>
      </c>
      <c r="E98" s="1092" t="str">
        <f>'Part III-Sources of Funds'!E37</f>
        <v>Prudential</v>
      </c>
      <c r="I98" s="959"/>
    </row>
    <row r="99" spans="1:10" ht="12" customHeight="1">
      <c r="C99" s="1092"/>
      <c r="D99" s="959"/>
      <c r="E99" s="1092" t="s">
        <v>1863</v>
      </c>
      <c r="F99" s="2399"/>
      <c r="G99" s="2399"/>
      <c r="H99" s="2399"/>
      <c r="I99" s="959"/>
    </row>
    <row r="100" spans="1:10" ht="12" customHeight="1">
      <c r="C100" s="1092"/>
      <c r="D100" s="959"/>
      <c r="E100" s="1092" t="s">
        <v>2057</v>
      </c>
      <c r="F100" s="2398"/>
      <c r="G100" s="2398"/>
      <c r="H100" s="2398"/>
      <c r="I100" s="959"/>
    </row>
    <row r="101" spans="1:10" ht="12" customHeight="1">
      <c r="C101" s="1092"/>
      <c r="D101" s="959"/>
      <c r="E101" s="1092" t="s">
        <v>1866</v>
      </c>
      <c r="F101" s="2397"/>
      <c r="G101" s="2397"/>
      <c r="H101" s="2397"/>
      <c r="I101" s="959"/>
    </row>
    <row r="102" spans="1:10" ht="3" customHeight="1">
      <c r="D102" s="1105"/>
      <c r="G102" s="959"/>
      <c r="H102" s="959"/>
      <c r="I102" s="959"/>
    </row>
    <row r="103" spans="1:10" ht="12" customHeight="1">
      <c r="A103" s="1026" t="s">
        <v>3361</v>
      </c>
      <c r="D103" s="1106">
        <f>'Part IX A-Scoring Criteria'!O208</f>
        <v>0</v>
      </c>
      <c r="E103" s="959" t="s">
        <v>3339</v>
      </c>
      <c r="G103" s="1026">
        <f>'Part IX A-Scoring Criteria'!P207</f>
        <v>0</v>
      </c>
      <c r="H103" s="1026" t="s">
        <v>3792</v>
      </c>
      <c r="I103" s="959"/>
    </row>
    <row r="104" spans="1:10" ht="3" customHeight="1">
      <c r="E104" s="959"/>
      <c r="F104" s="959"/>
      <c r="I104" s="959"/>
    </row>
    <row r="105" spans="1:10" ht="12" customHeight="1">
      <c r="A105" s="959" t="s">
        <v>3518</v>
      </c>
      <c r="D105" s="1026" t="s">
        <v>3339</v>
      </c>
      <c r="E105" s="959"/>
      <c r="I105" s="959"/>
    </row>
    <row r="106" spans="1:10" ht="6" customHeight="1">
      <c r="G106" s="959"/>
      <c r="H106" s="959"/>
      <c r="I106" s="959"/>
    </row>
    <row r="107" spans="1:10" ht="12" customHeight="1">
      <c r="A107" s="1072" t="s">
        <v>3519</v>
      </c>
      <c r="I107" s="959"/>
    </row>
    <row r="108" spans="1:10" ht="12" customHeight="1">
      <c r="A108" s="1026" t="s">
        <v>3362</v>
      </c>
      <c r="C108" s="1074" t="s">
        <v>1837</v>
      </c>
      <c r="D108" s="2392"/>
      <c r="E108" s="2392"/>
      <c r="F108" s="2392"/>
      <c r="G108" s="2392"/>
      <c r="H108" s="2392"/>
      <c r="I108" s="2392"/>
      <c r="J108" s="2392"/>
    </row>
    <row r="109" spans="1:10" ht="3" customHeight="1">
      <c r="C109" s="1092"/>
      <c r="D109" s="959"/>
      <c r="I109" s="959"/>
    </row>
    <row r="110" spans="1:10" ht="12" customHeight="1">
      <c r="A110" s="1026" t="s">
        <v>3363</v>
      </c>
      <c r="C110" s="1074" t="s">
        <v>1837</v>
      </c>
    </row>
    <row r="111" spans="1:10" ht="3" customHeight="1">
      <c r="C111" s="1092"/>
      <c r="E111" s="959"/>
      <c r="F111" s="959"/>
      <c r="I111" s="959"/>
    </row>
    <row r="112" spans="1:10" ht="12" customHeight="1">
      <c r="A112" s="1026" t="s">
        <v>3364</v>
      </c>
      <c r="C112" s="1074" t="s">
        <v>1837</v>
      </c>
      <c r="I112" s="959"/>
    </row>
    <row r="113" spans="1:9" ht="3" customHeight="1">
      <c r="D113" s="1084"/>
      <c r="I113" s="959"/>
    </row>
    <row r="114" spans="1:9" ht="12" customHeight="1">
      <c r="A114" s="1026" t="s">
        <v>3365</v>
      </c>
      <c r="D114" s="1099">
        <v>24</v>
      </c>
      <c r="E114" s="959" t="s">
        <v>3366</v>
      </c>
      <c r="I114" s="959"/>
    </row>
    <row r="115" spans="1:9" ht="12" customHeight="1">
      <c r="C115" s="1074" t="s">
        <v>3794</v>
      </c>
      <c r="I115" s="959"/>
    </row>
    <row r="116" spans="1:9" ht="12" customHeight="1">
      <c r="C116" s="1074" t="s">
        <v>3793</v>
      </c>
      <c r="G116" s="959"/>
      <c r="I116" s="959"/>
    </row>
    <row r="117" spans="1:9" ht="3" customHeight="1">
      <c r="G117" s="959"/>
      <c r="H117" s="959"/>
      <c r="I117" s="959"/>
    </row>
    <row r="118" spans="1:9" ht="12" customHeight="1">
      <c r="A118" s="1026" t="s">
        <v>3367</v>
      </c>
      <c r="D118" s="1107">
        <v>0</v>
      </c>
      <c r="E118" s="1108" t="s">
        <v>3368</v>
      </c>
      <c r="I118" s="959"/>
    </row>
    <row r="119" spans="1:9" ht="3" customHeight="1">
      <c r="D119" s="1092"/>
      <c r="E119" s="959"/>
      <c r="F119" s="959"/>
      <c r="I119" s="959"/>
    </row>
    <row r="120" spans="1:9" ht="12" customHeight="1">
      <c r="A120" s="1026" t="s">
        <v>3369</v>
      </c>
      <c r="C120" s="959" t="s">
        <v>1837</v>
      </c>
      <c r="D120" s="1109"/>
      <c r="I120" s="959"/>
    </row>
    <row r="121" spans="1:9" ht="12" customHeight="1">
      <c r="C121" s="959" t="s">
        <v>3370</v>
      </c>
      <c r="D121" s="1106"/>
      <c r="I121" s="959"/>
    </row>
    <row r="122" spans="1:9" ht="12" customHeight="1">
      <c r="C122" s="959" t="s">
        <v>3371</v>
      </c>
      <c r="D122" s="1075"/>
      <c r="I122" s="959"/>
    </row>
    <row r="123" spans="1:9" ht="12" customHeight="1">
      <c r="C123" s="959" t="s">
        <v>3372</v>
      </c>
      <c r="D123" s="1075"/>
      <c r="I123" s="959"/>
    </row>
    <row r="124" spans="1:9" ht="3" customHeight="1">
      <c r="E124" s="959"/>
      <c r="F124" s="959"/>
      <c r="I124" s="959"/>
    </row>
    <row r="125" spans="1:9" ht="12" customHeight="1">
      <c r="A125" s="1026" t="s">
        <v>3373</v>
      </c>
      <c r="D125" s="1110" t="s">
        <v>3339</v>
      </c>
      <c r="I125" s="959"/>
    </row>
    <row r="126" spans="1:9" ht="3" customHeight="1">
      <c r="D126" s="959"/>
      <c r="I126" s="959"/>
    </row>
    <row r="127" spans="1:9" ht="12" customHeight="1">
      <c r="A127" s="1026" t="s">
        <v>3374</v>
      </c>
      <c r="D127" s="959" t="s">
        <v>3339</v>
      </c>
      <c r="I127" s="959"/>
    </row>
    <row r="128" spans="1:9" ht="3" customHeight="1">
      <c r="G128" s="959"/>
      <c r="H128" s="959"/>
      <c r="I128" s="959"/>
    </row>
    <row r="129" spans="1:10" ht="12" customHeight="1">
      <c r="A129" s="1026" t="s">
        <v>3375</v>
      </c>
      <c r="D129" s="959" t="s">
        <v>3376</v>
      </c>
      <c r="G129" s="959"/>
      <c r="I129" s="959"/>
    </row>
    <row r="130" spans="1:10" ht="7.5" customHeight="1">
      <c r="G130" s="959"/>
      <c r="H130" s="959"/>
      <c r="I130" s="959"/>
    </row>
    <row r="131" spans="1:10" ht="12" customHeight="1">
      <c r="A131" s="1072" t="s">
        <v>3377</v>
      </c>
      <c r="G131" s="959"/>
      <c r="H131" s="959"/>
      <c r="I131" s="959"/>
    </row>
    <row r="132" spans="1:10" ht="12" customHeight="1">
      <c r="A132" s="1026" t="s">
        <v>3378</v>
      </c>
      <c r="C132" s="1074" t="str">
        <f>Overview!H11</f>
        <v>The Benoit Group Development, LLC</v>
      </c>
      <c r="G132" s="959"/>
      <c r="I132" s="959"/>
    </row>
    <row r="133" spans="1:10" ht="12" customHeight="1">
      <c r="C133" s="1074" t="str">
        <f>Overview!K11</f>
        <v>WSCF Development, LLC</v>
      </c>
      <c r="G133" s="959"/>
      <c r="I133" s="959"/>
    </row>
    <row r="134" spans="1:10" ht="3" customHeight="1">
      <c r="C134" s="959"/>
      <c r="G134" s="959"/>
      <c r="I134" s="959"/>
    </row>
    <row r="135" spans="1:10" ht="12" customHeight="1">
      <c r="A135" s="1026" t="s">
        <v>3379</v>
      </c>
      <c r="C135" s="1111">
        <f>('Part IV-Uses of Funds'!G117-'Part III-Sources of Funds'!I42)/2</f>
        <v>1244096</v>
      </c>
      <c r="G135" s="959"/>
      <c r="I135" s="959"/>
    </row>
    <row r="136" spans="1:10" ht="3" customHeight="1">
      <c r="C136" s="959"/>
      <c r="G136" s="959"/>
      <c r="I136" s="959"/>
    </row>
    <row r="137" spans="1:10" ht="12" customHeight="1">
      <c r="A137" s="1026" t="s">
        <v>3380</v>
      </c>
      <c r="C137" s="1102" t="s">
        <v>3381</v>
      </c>
      <c r="G137" s="959"/>
      <c r="I137" s="959"/>
    </row>
    <row r="138" spans="1:10" ht="3" customHeight="1">
      <c r="C138" s="1074"/>
      <c r="G138" s="959"/>
      <c r="I138" s="959"/>
    </row>
    <row r="139" spans="1:10" ht="12" customHeight="1">
      <c r="A139" s="1026" t="s">
        <v>3382</v>
      </c>
      <c r="C139" s="1074" t="str">
        <f>'Preview term'!E19</f>
        <v xml:space="preserve">Dorchester Management </v>
      </c>
      <c r="G139" s="959"/>
      <c r="I139" s="959"/>
      <c r="J139" s="1112"/>
    </row>
    <row r="140" spans="1:10" ht="3" customHeight="1">
      <c r="C140" s="1074"/>
      <c r="G140" s="959"/>
      <c r="I140" s="959"/>
    </row>
    <row r="141" spans="1:10" ht="12" customHeight="1">
      <c r="A141" s="1026" t="s">
        <v>3383</v>
      </c>
      <c r="C141" s="1076" t="str">
        <f>C8</f>
        <v xml:space="preserve">Wheat Street Senior, LP </v>
      </c>
      <c r="G141" s="959"/>
      <c r="I141" s="1073"/>
      <c r="J141" s="1113"/>
    </row>
    <row r="142" spans="1:10" ht="3" customHeight="1">
      <c r="C142" s="1076"/>
      <c r="G142" s="959"/>
      <c r="I142" s="1073"/>
      <c r="J142" s="1113"/>
    </row>
    <row r="143" spans="1:10" ht="12" customHeight="1">
      <c r="A143" s="1026" t="s">
        <v>3384</v>
      </c>
      <c r="C143" s="1076" t="str">
        <f>C132</f>
        <v>The Benoit Group Development, LLC</v>
      </c>
      <c r="G143" s="959"/>
      <c r="I143" s="1073"/>
      <c r="J143" s="1113"/>
    </row>
    <row r="144" spans="1:10">
      <c r="C144" s="1076" t="str">
        <f>'Part II-Development Team'!$H$55&amp;", "&amp;'Part II-Development Team'!$H$56&amp;", "&amp;'Part II-Development Team'!$H$57&amp;"  "&amp;'Part II-Development Team'!$J$57</f>
        <v xml:space="preserve">6780 Roswell Road, Suite 200, Atlanta, GA  </v>
      </c>
      <c r="G144" s="959"/>
      <c r="I144" s="1073"/>
      <c r="J144" s="1113"/>
    </row>
    <row r="145" spans="1:10" ht="3" customHeight="1">
      <c r="C145" s="1114"/>
      <c r="G145" s="959"/>
      <c r="I145" s="1073"/>
      <c r="J145" s="1113"/>
    </row>
    <row r="146" spans="1:10" ht="12" customHeight="1">
      <c r="A146" s="1026" t="s">
        <v>3385</v>
      </c>
      <c r="C146" s="1076" t="str">
        <f>Overview!H10</f>
        <v>NDC</v>
      </c>
      <c r="G146" s="959"/>
      <c r="I146" s="1073"/>
      <c r="J146" s="1112"/>
    </row>
    <row r="147" spans="1:10" ht="3" customHeight="1">
      <c r="C147" s="1076"/>
      <c r="G147" s="959"/>
      <c r="I147" s="1073"/>
      <c r="J147" s="1113"/>
    </row>
    <row r="148" spans="1:10" ht="12" customHeight="1">
      <c r="A148" s="1026" t="s">
        <v>3386</v>
      </c>
      <c r="C148" s="1076" t="str">
        <f>Overview!K10</f>
        <v>Sugar Creek</v>
      </c>
      <c r="G148" s="959"/>
      <c r="I148" s="1073"/>
      <c r="J148" s="1112"/>
    </row>
    <row r="149" spans="1:10" ht="3" customHeight="1">
      <c r="C149" s="1114"/>
      <c r="G149" s="959"/>
      <c r="I149" s="1073"/>
      <c r="J149" s="1113"/>
    </row>
    <row r="150" spans="1:10" ht="12" customHeight="1">
      <c r="A150" s="1026" t="s">
        <v>3387</v>
      </c>
      <c r="C150" s="1115" t="s">
        <v>3339</v>
      </c>
      <c r="G150" s="959"/>
      <c r="I150" s="959"/>
    </row>
    <row r="151" spans="1:10" ht="3" customHeight="1">
      <c r="C151" s="1115"/>
      <c r="G151" s="959"/>
      <c r="I151" s="959"/>
    </row>
    <row r="152" spans="1:10" ht="12" customHeight="1">
      <c r="A152" s="1026" t="s">
        <v>3388</v>
      </c>
      <c r="C152" s="1115" t="s">
        <v>3339</v>
      </c>
      <c r="G152" s="959"/>
      <c r="I152" s="959"/>
    </row>
    <row r="153" spans="1:10" ht="7.5" customHeight="1">
      <c r="G153" s="959"/>
      <c r="H153" s="959"/>
      <c r="I153" s="959"/>
    </row>
    <row r="154" spans="1:10" ht="12" customHeight="1">
      <c r="A154" s="1072" t="s">
        <v>3389</v>
      </c>
      <c r="G154" s="959"/>
      <c r="H154" s="959"/>
      <c r="I154" s="959"/>
    </row>
    <row r="155" spans="1:10" ht="3" customHeight="1">
      <c r="D155" s="959"/>
      <c r="E155" s="959"/>
      <c r="G155" s="959"/>
    </row>
    <row r="156" spans="1:10" ht="12" customHeight="1">
      <c r="A156" s="1026" t="s">
        <v>3390</v>
      </c>
      <c r="C156" s="959" t="s">
        <v>3796</v>
      </c>
      <c r="D156" s="959"/>
      <c r="G156" s="959"/>
      <c r="H156" s="959"/>
      <c r="I156" s="959"/>
    </row>
    <row r="157" spans="1:10" ht="3" customHeight="1">
      <c r="D157" s="959"/>
      <c r="E157" s="959"/>
      <c r="G157" s="959"/>
    </row>
    <row r="158" spans="1:10" ht="12" customHeight="1">
      <c r="A158" s="1026" t="s">
        <v>3391</v>
      </c>
      <c r="D158" s="1102">
        <v>20</v>
      </c>
      <c r="E158" s="959" t="s">
        <v>2494</v>
      </c>
    </row>
    <row r="159" spans="1:10" ht="3" customHeight="1">
      <c r="D159" s="959"/>
      <c r="E159" s="959"/>
      <c r="G159" s="959"/>
    </row>
    <row r="160" spans="1:10" ht="12" customHeight="1">
      <c r="A160" s="1026" t="s">
        <v>3392</v>
      </c>
      <c r="C160" s="959" t="s">
        <v>1837</v>
      </c>
      <c r="D160" s="959" t="s">
        <v>3848</v>
      </c>
      <c r="G160" s="959"/>
    </row>
    <row r="161" spans="1:13" ht="3" customHeight="1">
      <c r="G161" s="959"/>
      <c r="H161" s="959"/>
      <c r="I161" s="959"/>
    </row>
    <row r="162" spans="1:13" ht="12" customHeight="1">
      <c r="A162" s="1026" t="s">
        <v>3393</v>
      </c>
      <c r="G162" s="959"/>
      <c r="H162" s="959"/>
      <c r="I162" s="959"/>
    </row>
    <row r="163" spans="1:13" ht="7.5" customHeight="1">
      <c r="G163" s="959"/>
      <c r="H163" s="959"/>
      <c r="I163" s="959"/>
    </row>
    <row r="164" spans="1:13" ht="12" customHeight="1">
      <c r="A164" s="1072" t="s">
        <v>3394</v>
      </c>
      <c r="G164" s="959"/>
      <c r="H164" s="959"/>
      <c r="I164" s="959"/>
    </row>
    <row r="165" spans="1:13" ht="12" customHeight="1">
      <c r="A165" s="1026" t="s">
        <v>3509</v>
      </c>
      <c r="C165" s="1026" t="s">
        <v>3510</v>
      </c>
      <c r="E165" s="1102">
        <f>'Preview term'!F77</f>
        <v>0</v>
      </c>
      <c r="G165" s="959"/>
      <c r="I165" s="959"/>
    </row>
    <row r="166" spans="1:13" ht="12" customHeight="1">
      <c r="C166" s="1026" t="s">
        <v>3797</v>
      </c>
      <c r="I166" s="959"/>
    </row>
    <row r="167" spans="1:13" ht="3" customHeight="1">
      <c r="E167" s="959"/>
      <c r="G167" s="959"/>
      <c r="I167" s="959"/>
    </row>
    <row r="168" spans="1:13" ht="12" customHeight="1">
      <c r="A168" s="1026" t="s">
        <v>3395</v>
      </c>
      <c r="C168" s="1026" t="s">
        <v>3396</v>
      </c>
      <c r="E168" s="1116">
        <f>'Preview term'!F71</f>
        <v>1035940</v>
      </c>
      <c r="G168" s="959"/>
      <c r="I168" s="959"/>
    </row>
    <row r="169" spans="1:13" ht="12" customHeight="1">
      <c r="C169" s="1026" t="s">
        <v>3797</v>
      </c>
      <c r="I169" s="959"/>
    </row>
    <row r="170" spans="1:13" ht="12" customHeight="1">
      <c r="C170" s="1026" t="s">
        <v>3397</v>
      </c>
      <c r="E170" s="1074" t="s">
        <v>2948</v>
      </c>
      <c r="G170" s="959"/>
      <c r="I170" s="959"/>
    </row>
    <row r="171" spans="1:13" ht="3" customHeight="1">
      <c r="E171" s="1074"/>
      <c r="G171" s="959"/>
      <c r="I171" s="959"/>
    </row>
    <row r="172" spans="1:13" ht="12" customHeight="1">
      <c r="A172" s="1026" t="s">
        <v>3511</v>
      </c>
      <c r="C172" s="1026" t="s">
        <v>3512</v>
      </c>
      <c r="E172" s="1116">
        <f>'Preview term'!F73</f>
        <v>0</v>
      </c>
      <c r="G172" s="959"/>
      <c r="I172" s="959"/>
    </row>
    <row r="173" spans="1:13" ht="12" customHeight="1">
      <c r="C173" s="1026" t="s">
        <v>3398</v>
      </c>
      <c r="E173" s="1116">
        <f>'Preview term'!F74</f>
        <v>0</v>
      </c>
      <c r="G173" s="959"/>
      <c r="I173" s="1073"/>
      <c r="J173" s="1113"/>
      <c r="K173" s="1113"/>
      <c r="L173" s="1113"/>
      <c r="M173" s="1113"/>
    </row>
    <row r="174" spans="1:13" ht="12" customHeight="1">
      <c r="C174" s="1026" t="s">
        <v>3399</v>
      </c>
      <c r="E174" s="1111" t="e">
        <f>#REF!</f>
        <v>#REF!</v>
      </c>
      <c r="F174" s="1073" t="s">
        <v>3400</v>
      </c>
      <c r="J174" s="1113"/>
      <c r="K174" s="1113"/>
      <c r="L174" s="1113"/>
      <c r="M174" s="1113"/>
    </row>
    <row r="175" spans="1:13">
      <c r="E175" s="1116" t="e">
        <f>E174/12</f>
        <v>#REF!</v>
      </c>
      <c r="F175" s="959" t="s">
        <v>3243</v>
      </c>
    </row>
    <row r="176" spans="1:13" ht="12" customHeight="1">
      <c r="C176" s="1026" t="s">
        <v>3798</v>
      </c>
      <c r="I176" s="959"/>
    </row>
    <row r="177" spans="1:10" ht="12" customHeight="1">
      <c r="C177" s="1026" t="s">
        <v>3401</v>
      </c>
      <c r="E177" s="959" t="s">
        <v>3154</v>
      </c>
      <c r="I177" s="959"/>
    </row>
    <row r="178" spans="1:10" ht="12" customHeight="1">
      <c r="C178" s="1026" t="s">
        <v>3402</v>
      </c>
      <c r="E178" s="959" t="s">
        <v>2948</v>
      </c>
      <c r="I178" s="959"/>
    </row>
    <row r="179" spans="1:10" ht="3" customHeight="1">
      <c r="E179" s="959"/>
      <c r="F179" s="959"/>
      <c r="I179" s="959"/>
    </row>
    <row r="180" spans="1:10" ht="12" customHeight="1">
      <c r="A180" s="1026" t="s">
        <v>3507</v>
      </c>
      <c r="C180" s="1026" t="s">
        <v>3508</v>
      </c>
      <c r="E180" s="1074" t="s">
        <v>1837</v>
      </c>
      <c r="F180" s="1117"/>
      <c r="I180" s="959"/>
    </row>
    <row r="181" spans="1:10" ht="12" customHeight="1">
      <c r="C181" s="1026" t="s">
        <v>3403</v>
      </c>
      <c r="E181" s="1074" t="s">
        <v>1837</v>
      </c>
      <c r="F181" s="2386"/>
      <c r="G181" s="2386"/>
      <c r="H181" s="2386"/>
      <c r="I181" s="2386"/>
      <c r="J181" s="2386"/>
    </row>
    <row r="182" spans="1:10" ht="12" customHeight="1">
      <c r="C182" s="1026" t="s">
        <v>3799</v>
      </c>
      <c r="E182" s="959" t="s">
        <v>3339</v>
      </c>
      <c r="I182" s="959"/>
    </row>
    <row r="183" spans="1:10" ht="12" customHeight="1">
      <c r="C183" s="1026" t="s">
        <v>3404</v>
      </c>
      <c r="E183" s="959" t="s">
        <v>2948</v>
      </c>
      <c r="I183" s="959"/>
    </row>
    <row r="184" spans="1:10" ht="3" customHeight="1">
      <c r="G184" s="959"/>
      <c r="H184" s="959"/>
      <c r="I184" s="959"/>
    </row>
    <row r="185" spans="1:10" ht="12" customHeight="1">
      <c r="A185" s="1026" t="s">
        <v>3513</v>
      </c>
      <c r="C185" s="1026" t="s">
        <v>3514</v>
      </c>
      <c r="E185" s="1116">
        <f>'Preview term'!F75</f>
        <v>386556.5</v>
      </c>
      <c r="G185" s="959"/>
      <c r="I185" s="959"/>
    </row>
    <row r="186" spans="1:10" ht="12" customHeight="1">
      <c r="C186" s="1026" t="s">
        <v>3797</v>
      </c>
      <c r="E186" s="1074">
        <f>E169</f>
        <v>0</v>
      </c>
      <c r="G186" s="959"/>
      <c r="I186" s="959"/>
    </row>
    <row r="187" spans="1:10" ht="12" customHeight="1">
      <c r="C187" s="1026" t="s">
        <v>3405</v>
      </c>
      <c r="E187" s="1074" t="s">
        <v>3339</v>
      </c>
      <c r="G187" s="959"/>
      <c r="I187" s="959"/>
    </row>
    <row r="188" spans="1:10" ht="3" customHeight="1">
      <c r="E188" s="1074"/>
      <c r="G188" s="959"/>
      <c r="I188" s="959"/>
    </row>
    <row r="189" spans="1:10" ht="12" customHeight="1">
      <c r="A189" s="1026" t="s">
        <v>3515</v>
      </c>
      <c r="C189" s="1026" t="s">
        <v>3516</v>
      </c>
      <c r="E189" s="1074" t="s">
        <v>3339</v>
      </c>
      <c r="G189" s="959"/>
      <c r="I189" s="959"/>
    </row>
    <row r="190" spans="1:10" ht="12" customHeight="1">
      <c r="C190" s="1026" t="s">
        <v>3396</v>
      </c>
      <c r="E190" s="1092"/>
      <c r="G190" s="959"/>
      <c r="H190" s="1101"/>
      <c r="I190" s="959"/>
    </row>
    <row r="191" spans="1:10" ht="12" customHeight="1">
      <c r="C191" s="1026" t="s">
        <v>3797</v>
      </c>
      <c r="E191" s="1092"/>
      <c r="I191" s="1074"/>
    </row>
    <row r="192" spans="1:10" ht="12" customHeight="1">
      <c r="C192" s="1026" t="s">
        <v>3397</v>
      </c>
      <c r="E192" s="1092"/>
      <c r="G192" s="959"/>
      <c r="H192" s="959"/>
      <c r="I192" s="959"/>
    </row>
    <row r="193" spans="1:10" ht="9" customHeight="1">
      <c r="G193" s="959"/>
      <c r="H193" s="959"/>
      <c r="I193" s="959"/>
    </row>
    <row r="194" spans="1:10" ht="12" customHeight="1">
      <c r="A194" s="1072" t="s">
        <v>3406</v>
      </c>
      <c r="C194" s="959" t="s">
        <v>3407</v>
      </c>
      <c r="E194" s="959"/>
      <c r="I194" s="959"/>
    </row>
    <row r="195" spans="1:10" ht="9" customHeight="1">
      <c r="E195" s="959"/>
      <c r="F195" s="959"/>
      <c r="I195" s="959"/>
    </row>
    <row r="196" spans="1:10" ht="12" customHeight="1">
      <c r="A196" s="1072" t="s">
        <v>3408</v>
      </c>
      <c r="E196" s="959"/>
      <c r="F196" s="959"/>
      <c r="I196" s="959"/>
    </row>
    <row r="197" spans="1:10" ht="12" customHeight="1">
      <c r="A197" s="1026" t="s">
        <v>3409</v>
      </c>
      <c r="C197" s="959" t="s">
        <v>1837</v>
      </c>
      <c r="E197" s="959"/>
      <c r="F197" s="959"/>
      <c r="I197" s="959"/>
    </row>
    <row r="198" spans="1:10" ht="3" customHeight="1">
      <c r="G198" s="959"/>
      <c r="H198" s="959"/>
      <c r="I198" s="959"/>
    </row>
    <row r="199" spans="1:10">
      <c r="A199" s="1085" t="s">
        <v>3801</v>
      </c>
      <c r="B199" s="1085"/>
      <c r="C199" s="1085"/>
      <c r="D199" s="1085"/>
      <c r="E199" s="1090" t="s">
        <v>3800</v>
      </c>
      <c r="F199" s="2396"/>
      <c r="G199" s="2396"/>
      <c r="H199" s="2396"/>
      <c r="I199" s="2396"/>
      <c r="J199" s="2396"/>
    </row>
    <row r="200" spans="1:10" ht="9" customHeight="1">
      <c r="G200" s="959"/>
      <c r="H200" s="959"/>
      <c r="I200" s="959"/>
    </row>
    <row r="201" spans="1:10" ht="12" customHeight="1">
      <c r="A201" s="1118" t="s">
        <v>3506</v>
      </c>
      <c r="G201" s="959"/>
      <c r="H201" s="959"/>
      <c r="I201" s="1101"/>
    </row>
    <row r="202" spans="1:10" ht="25.5" customHeight="1">
      <c r="A202" s="2387" t="str">
        <f>'Subsidy Layering Memo'!A98</f>
        <v>Include any reserve requirements; explain any reserves far in excess of 6 month ODR, 3 mo lease up, 1 year RR, 6 mo T&amp;I standards.</v>
      </c>
      <c r="B202" s="2387"/>
      <c r="C202" s="2387"/>
      <c r="D202" s="2387"/>
      <c r="E202" s="2387"/>
      <c r="F202" s="2387"/>
      <c r="G202" s="2387"/>
      <c r="H202" s="2387"/>
      <c r="I202" s="2387"/>
      <c r="J202" s="2387"/>
    </row>
    <row r="203" spans="1:10">
      <c r="A203" s="959"/>
      <c r="G203" s="959"/>
      <c r="H203" s="959"/>
      <c r="I203" s="959"/>
    </row>
    <row r="204" spans="1:10">
      <c r="A204" s="1072" t="s">
        <v>3410</v>
      </c>
      <c r="G204" s="959"/>
      <c r="H204" s="959"/>
      <c r="I204" s="959"/>
    </row>
    <row r="205" spans="1:10" ht="3" customHeight="1">
      <c r="G205" s="959"/>
      <c r="H205" s="959"/>
      <c r="I205" s="959"/>
    </row>
    <row r="206" spans="1:10" ht="76.5" customHeight="1">
      <c r="A206" s="2389" t="s">
        <v>3101</v>
      </c>
      <c r="B206" s="2389"/>
      <c r="C206" s="2389"/>
      <c r="D206" s="2389"/>
      <c r="E206" s="2389"/>
      <c r="F206" s="2389"/>
      <c r="G206" s="2389"/>
      <c r="H206" s="2389"/>
      <c r="I206" s="2389"/>
      <c r="J206" s="2389"/>
    </row>
    <row r="207" spans="1:10">
      <c r="A207" s="959" t="s">
        <v>3102</v>
      </c>
      <c r="G207" s="959"/>
      <c r="H207" s="959"/>
      <c r="I207" s="959"/>
    </row>
    <row r="208" spans="1:10" ht="38.25" customHeight="1">
      <c r="A208" s="2389" t="str">
        <f>'Subsidy Layering Memo'!A37&amp;".  "&amp;'Subsidy Layering Memo'!A38</f>
        <v xml:space="preserve">.  </v>
      </c>
      <c r="B208" s="2390"/>
      <c r="C208" s="2390"/>
      <c r="D208" s="2390"/>
      <c r="E208" s="2390"/>
      <c r="F208" s="2390"/>
      <c r="G208" s="2390"/>
      <c r="H208" s="2390"/>
      <c r="I208" s="2390"/>
      <c r="J208" s="2390"/>
    </row>
    <row r="209" spans="1:4">
      <c r="A209" s="1074"/>
    </row>
    <row r="210" spans="1:4">
      <c r="A210" s="1074"/>
    </row>
    <row r="211" spans="1:4">
      <c r="A211" s="959"/>
    </row>
    <row r="215" spans="1:4">
      <c r="D215" s="102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6" customWidth="1"/>
    <col min="2" max="2" width="4.28515625" style="1026" customWidth="1"/>
    <col min="3" max="3" width="18.5703125" style="1026" customWidth="1"/>
    <col min="4" max="4" width="2.7109375" style="1026" customWidth="1"/>
    <col min="5" max="5" width="6.5703125" style="1026" customWidth="1"/>
    <col min="6" max="6" width="39.28515625" style="1026" customWidth="1"/>
    <col min="7" max="8" width="8.42578125" style="1026" customWidth="1"/>
    <col min="9" max="16384" width="9.140625" style="1026"/>
  </cols>
  <sheetData>
    <row r="1" spans="1:11">
      <c r="A1" s="959" t="s">
        <v>3411</v>
      </c>
      <c r="H1" s="1077" t="str">
        <f>Overview!C8</f>
        <v>Wheat Street Tower</v>
      </c>
    </row>
    <row r="2" spans="1:11">
      <c r="A2" s="959" t="s">
        <v>3412</v>
      </c>
    </row>
    <row r="3" spans="1:11" ht="3" customHeight="1"/>
    <row r="4" spans="1:11" ht="51.75" customHeight="1">
      <c r="A4" s="2390" t="s">
        <v>3523</v>
      </c>
      <c r="B4" s="2390"/>
      <c r="C4" s="2390"/>
      <c r="D4" s="2390"/>
      <c r="E4" s="2390"/>
      <c r="F4" s="2390"/>
      <c r="G4" s="2390"/>
      <c r="H4" s="2390"/>
      <c r="J4" s="1119">
        <f>SUM('Part VII-Pro Forma'!B14:B16)/12</f>
        <v>196953.07499999998</v>
      </c>
      <c r="K4" s="1026" t="s">
        <v>3849</v>
      </c>
    </row>
    <row r="5" spans="1:11" ht="1.5" customHeight="1">
      <c r="C5" s="1120"/>
      <c r="D5" s="1120"/>
      <c r="E5" s="1120"/>
      <c r="F5" s="1120"/>
      <c r="G5" s="1120"/>
      <c r="H5" s="1120"/>
    </row>
    <row r="6" spans="1:11" ht="12.75" customHeight="1">
      <c r="B6" s="1121" t="s">
        <v>2520</v>
      </c>
      <c r="C6" s="2390" t="s">
        <v>3413</v>
      </c>
      <c r="D6" s="2390"/>
      <c r="E6" s="2390"/>
      <c r="F6" s="2390"/>
      <c r="G6" s="2390"/>
      <c r="H6" s="2390"/>
    </row>
    <row r="7" spans="1:11" ht="12.75" customHeight="1">
      <c r="B7" s="1121" t="s">
        <v>2521</v>
      </c>
      <c r="C7" s="2390" t="s">
        <v>3414</v>
      </c>
      <c r="D7" s="2390"/>
      <c r="E7" s="2390"/>
      <c r="F7" s="2390"/>
      <c r="G7" s="2390"/>
      <c r="H7" s="2390"/>
    </row>
    <row r="8" spans="1:11" ht="3" customHeight="1"/>
    <row r="9" spans="1:11">
      <c r="A9" s="1026" t="s">
        <v>3415</v>
      </c>
    </row>
    <row r="10" spans="1:11" ht="1.5" customHeight="1"/>
    <row r="11" spans="1:11" ht="26.25" customHeight="1">
      <c r="A11" s="1122" t="s">
        <v>2058</v>
      </c>
      <c r="B11" s="2405" t="s">
        <v>3520</v>
      </c>
      <c r="C11" s="2405"/>
      <c r="D11" s="2405"/>
      <c r="E11" s="2405"/>
      <c r="F11" s="2405"/>
      <c r="G11" s="2402">
        <f>'Part III-Sources of Funds'!I45+'Part III-Sources of Funds'!I46</f>
        <v>13719505</v>
      </c>
      <c r="H11" s="2402"/>
    </row>
    <row r="12" spans="1:11" ht="1.5" customHeight="1">
      <c r="G12" s="1085"/>
      <c r="H12" s="1085"/>
    </row>
    <row r="13" spans="1:11" ht="26.25" customHeight="1">
      <c r="A13" s="1122" t="s">
        <v>2061</v>
      </c>
      <c r="B13" s="2405" t="s">
        <v>3521</v>
      </c>
      <c r="C13" s="2405"/>
      <c r="D13" s="2405"/>
      <c r="E13" s="2405"/>
      <c r="F13" s="2405"/>
      <c r="G13" s="2404" t="s">
        <v>3339</v>
      </c>
      <c r="H13" s="2404"/>
    </row>
    <row r="14" spans="1:11" ht="12" customHeight="1">
      <c r="A14" s="1122"/>
      <c r="B14" s="2391"/>
      <c r="C14" s="2391"/>
      <c r="D14" s="2391"/>
      <c r="E14" s="2391"/>
      <c r="F14" s="2391"/>
      <c r="G14" s="2391"/>
      <c r="H14" s="2391"/>
    </row>
    <row r="15" spans="1:11" ht="1.5" customHeight="1"/>
    <row r="16" spans="1:11" ht="12" customHeight="1">
      <c r="A16" s="1122" t="s">
        <v>779</v>
      </c>
      <c r="B16" s="1026" t="s">
        <v>3525</v>
      </c>
      <c r="F16" s="1113"/>
      <c r="G16" s="2403" t="s">
        <v>3157</v>
      </c>
      <c r="H16" s="2403"/>
    </row>
    <row r="17" spans="1:8" ht="1.5" customHeight="1">
      <c r="G17" s="1092"/>
    </row>
    <row r="18" spans="1:8" ht="12" customHeight="1">
      <c r="A18" s="1122" t="s">
        <v>2193</v>
      </c>
      <c r="B18" s="1085" t="s">
        <v>3522</v>
      </c>
      <c r="C18" s="1122"/>
      <c r="D18" s="1122"/>
      <c r="E18" s="1122"/>
      <c r="G18" s="2391" t="s">
        <v>2948</v>
      </c>
      <c r="H18" s="2391"/>
    </row>
    <row r="19" spans="1:8" ht="12" customHeight="1">
      <c r="B19" s="2391"/>
      <c r="C19" s="2391"/>
      <c r="D19" s="2391"/>
      <c r="E19" s="2391"/>
      <c r="F19" s="2391"/>
      <c r="G19" s="2391"/>
      <c r="H19" s="2391"/>
    </row>
    <row r="20" spans="1:8" ht="13.5" customHeight="1"/>
    <row r="21" spans="1:8" ht="12" customHeight="1">
      <c r="A21" s="959" t="s">
        <v>3416</v>
      </c>
    </row>
    <row r="22" spans="1:8" ht="3" customHeight="1"/>
    <row r="23" spans="1:8" ht="26.25" customHeight="1">
      <c r="A23" s="2400" t="s">
        <v>3524</v>
      </c>
      <c r="B23" s="2400"/>
      <c r="C23" s="2400"/>
      <c r="D23" s="2400"/>
      <c r="E23" s="2400"/>
      <c r="F23" s="2400"/>
      <c r="G23" s="2400"/>
      <c r="H23" s="2400"/>
    </row>
    <row r="24" spans="1:8" ht="26.25" customHeight="1">
      <c r="A24" s="2401" t="s">
        <v>3417</v>
      </c>
      <c r="B24" s="2401"/>
      <c r="C24" s="2401"/>
      <c r="D24" s="2401"/>
      <c r="E24" s="2401"/>
      <c r="F24" s="2401"/>
      <c r="G24" s="2401"/>
      <c r="H24" s="2401"/>
    </row>
    <row r="25" spans="1:8" ht="9" customHeight="1">
      <c r="A25" s="1052"/>
    </row>
    <row r="26" spans="1:8">
      <c r="A26" s="1092" t="s">
        <v>3526</v>
      </c>
      <c r="B26" s="1123"/>
      <c r="C26" s="1092" t="s">
        <v>3527</v>
      </c>
      <c r="D26" s="1124" t="s">
        <v>3808</v>
      </c>
    </row>
    <row r="27" spans="1:8" ht="6" customHeight="1"/>
    <row r="28" spans="1:8" ht="12.75" customHeight="1">
      <c r="C28" s="1085" t="s">
        <v>3418</v>
      </c>
      <c r="D28" s="1125" t="s">
        <v>2062</v>
      </c>
      <c r="E28" s="1126"/>
      <c r="F28" s="2390" t="s">
        <v>3419</v>
      </c>
      <c r="G28" s="2390"/>
      <c r="H28" s="2390"/>
    </row>
    <row r="29" spans="1:8" ht="12.75" customHeight="1">
      <c r="C29" s="1127" t="s">
        <v>1403</v>
      </c>
      <c r="D29" s="1125" t="s">
        <v>2064</v>
      </c>
      <c r="E29" s="2390" t="s">
        <v>3531</v>
      </c>
      <c r="F29" s="2390"/>
      <c r="G29" s="2390"/>
      <c r="H29" s="2390"/>
    </row>
    <row r="30" spans="1:8" ht="12.75" customHeight="1">
      <c r="E30" s="2390" t="s">
        <v>3804</v>
      </c>
      <c r="F30" s="2390"/>
      <c r="G30" s="2390"/>
      <c r="H30" s="2390"/>
    </row>
    <row r="31" spans="1:8" ht="12.75" customHeight="1">
      <c r="D31" s="1128" t="s">
        <v>3530</v>
      </c>
      <c r="E31" s="2390" t="s">
        <v>3805</v>
      </c>
      <c r="F31" s="2390"/>
      <c r="G31" s="2390"/>
      <c r="H31" s="2390"/>
    </row>
    <row r="32" spans="1:8" ht="3" customHeight="1">
      <c r="D32" s="1125"/>
      <c r="E32" s="1129"/>
      <c r="F32" s="1129"/>
      <c r="G32" s="1129"/>
      <c r="H32" s="1129"/>
    </row>
    <row r="33" spans="1:11">
      <c r="A33" s="1092" t="s">
        <v>3526</v>
      </c>
      <c r="B33" s="1123"/>
      <c r="C33" s="1092" t="s">
        <v>3528</v>
      </c>
      <c r="D33" s="1124" t="s">
        <v>3809</v>
      </c>
    </row>
    <row r="34" spans="1:11" ht="4.5" customHeight="1"/>
    <row r="35" spans="1:11" ht="12.75" customHeight="1">
      <c r="C35" s="1085" t="s">
        <v>3418</v>
      </c>
      <c r="D35" s="1125" t="s">
        <v>2062</v>
      </c>
      <c r="E35" s="1126"/>
      <c r="F35" s="2390" t="s">
        <v>3419</v>
      </c>
      <c r="G35" s="2390"/>
      <c r="H35" s="2390"/>
    </row>
    <row r="36" spans="1:11" ht="12.75" customHeight="1">
      <c r="C36" s="1127" t="s">
        <v>1403</v>
      </c>
      <c r="D36" s="1125" t="s">
        <v>2064</v>
      </c>
      <c r="E36" s="2390" t="s">
        <v>3532</v>
      </c>
      <c r="F36" s="2390"/>
      <c r="G36" s="2390"/>
      <c r="H36" s="2390"/>
    </row>
    <row r="37" spans="1:11" ht="12.75" customHeight="1">
      <c r="E37" s="2390" t="s">
        <v>3804</v>
      </c>
      <c r="F37" s="2390"/>
      <c r="G37" s="2390"/>
      <c r="H37" s="2390"/>
    </row>
    <row r="38" spans="1:11" ht="12.75" customHeight="1">
      <c r="D38" s="1128" t="s">
        <v>3530</v>
      </c>
      <c r="E38" s="2390" t="s">
        <v>3805</v>
      </c>
      <c r="F38" s="2390"/>
      <c r="G38" s="2390"/>
      <c r="H38" s="2390"/>
    </row>
    <row r="39" spans="1:11" ht="3" customHeight="1">
      <c r="D39" s="1125"/>
      <c r="E39" s="1129"/>
      <c r="F39" s="1129"/>
      <c r="G39" s="1129"/>
      <c r="H39" s="1129"/>
    </row>
    <row r="40" spans="1:11">
      <c r="A40" s="1092" t="s">
        <v>3526</v>
      </c>
      <c r="B40" s="1123"/>
      <c r="C40" s="1092" t="s">
        <v>3529</v>
      </c>
      <c r="D40" s="1124" t="s">
        <v>3810</v>
      </c>
    </row>
    <row r="41" spans="1:11" ht="4.5" customHeight="1"/>
    <row r="42" spans="1:11" ht="12.75" customHeight="1">
      <c r="C42" s="1085" t="s">
        <v>3418</v>
      </c>
      <c r="D42" s="1125" t="s">
        <v>2062</v>
      </c>
      <c r="E42" s="1126"/>
      <c r="F42" s="2390" t="s">
        <v>3419</v>
      </c>
      <c r="G42" s="2390"/>
      <c r="H42" s="2390"/>
      <c r="K42" s="1026" t="s">
        <v>254</v>
      </c>
    </row>
    <row r="43" spans="1:11" ht="12.75" customHeight="1">
      <c r="C43" s="1127" t="s">
        <v>1403</v>
      </c>
      <c r="D43" s="1125" t="s">
        <v>2064</v>
      </c>
      <c r="E43" s="2390" t="s">
        <v>3532</v>
      </c>
      <c r="F43" s="2390"/>
      <c r="G43" s="2390"/>
      <c r="H43" s="2390"/>
    </row>
    <row r="44" spans="1:11" ht="12.75" customHeight="1">
      <c r="E44" s="2390" t="s">
        <v>3804</v>
      </c>
      <c r="F44" s="2390"/>
      <c r="G44" s="2390"/>
      <c r="H44" s="2390"/>
    </row>
    <row r="45" spans="1:11" ht="12.75" customHeight="1">
      <c r="D45" s="1128" t="s">
        <v>3530</v>
      </c>
      <c r="E45" s="2390" t="s">
        <v>3805</v>
      </c>
      <c r="F45" s="2390"/>
      <c r="G45" s="2390"/>
      <c r="H45" s="2390"/>
    </row>
    <row r="46" spans="1:11" ht="9" customHeight="1"/>
    <row r="47" spans="1:11" ht="7.5" customHeight="1">
      <c r="E47" s="2390"/>
      <c r="F47" s="2390"/>
      <c r="G47" s="2390"/>
      <c r="H47" s="2390"/>
    </row>
    <row r="48" spans="1:11">
      <c r="A48" s="1052" t="s">
        <v>3420</v>
      </c>
      <c r="E48" s="1129"/>
      <c r="F48" s="1129"/>
      <c r="G48" s="1129"/>
      <c r="H48" s="1129"/>
    </row>
    <row r="49" spans="1:11" ht="9" customHeight="1"/>
    <row r="50" spans="1:11" ht="26.25" customHeight="1">
      <c r="A50" s="2400" t="s">
        <v>3806</v>
      </c>
      <c r="B50" s="2400"/>
      <c r="C50" s="2400"/>
      <c r="D50" s="2400"/>
      <c r="E50" s="2400"/>
      <c r="F50" s="2400"/>
      <c r="G50" s="2400"/>
      <c r="H50" s="2400"/>
    </row>
    <row r="51" spans="1:11" ht="9" customHeight="1">
      <c r="A51" s="1052"/>
    </row>
    <row r="52" spans="1:11">
      <c r="A52" s="1092" t="s">
        <v>3526</v>
      </c>
      <c r="B52" s="1123"/>
      <c r="C52" s="1092" t="s">
        <v>3527</v>
      </c>
      <c r="D52" s="1124" t="s">
        <v>3807</v>
      </c>
    </row>
    <row r="53" spans="1:11" ht="4.5" customHeight="1"/>
    <row r="54" spans="1:11" ht="12.75" customHeight="1">
      <c r="C54" s="1085" t="s">
        <v>3418</v>
      </c>
      <c r="D54" s="1125" t="s">
        <v>2062</v>
      </c>
      <c r="E54" s="1126"/>
      <c r="F54" s="2390" t="s">
        <v>3419</v>
      </c>
      <c r="G54" s="2390"/>
      <c r="H54" s="2390"/>
    </row>
    <row r="55" spans="1:11" ht="12.75" customHeight="1">
      <c r="C55" s="1127" t="s">
        <v>1403</v>
      </c>
      <c r="D55" s="1125" t="s">
        <v>2064</v>
      </c>
      <c r="E55" s="2390" t="s">
        <v>3813</v>
      </c>
      <c r="F55" s="2390"/>
      <c r="G55" s="2390"/>
      <c r="H55" s="2390"/>
    </row>
    <row r="56" spans="1:11" ht="3" customHeight="1">
      <c r="D56" s="1125"/>
      <c r="E56" s="1129"/>
      <c r="F56" s="1129"/>
      <c r="G56" s="1129"/>
      <c r="H56" s="1129"/>
    </row>
    <row r="57" spans="1:11">
      <c r="A57" s="1092" t="s">
        <v>3526</v>
      </c>
      <c r="B57" s="1123"/>
      <c r="C57" s="1092" t="s">
        <v>3528</v>
      </c>
      <c r="D57" s="1124" t="s">
        <v>3811</v>
      </c>
    </row>
    <row r="58" spans="1:11" ht="4.5" customHeight="1"/>
    <row r="59" spans="1:11">
      <c r="C59" s="1085" t="s">
        <v>3418</v>
      </c>
      <c r="D59" s="1125" t="s">
        <v>2062</v>
      </c>
      <c r="E59" s="1126"/>
      <c r="F59" s="2390" t="s">
        <v>3419</v>
      </c>
      <c r="G59" s="2390"/>
      <c r="H59" s="2390"/>
    </row>
    <row r="60" spans="1:11" ht="12.75" customHeight="1">
      <c r="C60" s="1127" t="s">
        <v>1403</v>
      </c>
      <c r="D60" s="1125" t="s">
        <v>2064</v>
      </c>
      <c r="E60" s="2390" t="s">
        <v>3813</v>
      </c>
      <c r="F60" s="2390"/>
      <c r="G60" s="2390"/>
      <c r="H60" s="2390"/>
    </row>
    <row r="61" spans="1:11" ht="3" customHeight="1">
      <c r="D61" s="1125"/>
      <c r="E61" s="1129"/>
      <c r="F61" s="1129"/>
      <c r="G61" s="1129"/>
      <c r="H61" s="1129"/>
    </row>
    <row r="62" spans="1:11">
      <c r="A62" s="1092" t="s">
        <v>3526</v>
      </c>
      <c r="B62" s="1123"/>
      <c r="C62" s="1092" t="s">
        <v>3529</v>
      </c>
      <c r="D62" s="1124" t="s">
        <v>3812</v>
      </c>
    </row>
    <row r="63" spans="1:11" ht="4.5" customHeight="1"/>
    <row r="64" spans="1:11">
      <c r="C64" s="1085" t="s">
        <v>3418</v>
      </c>
      <c r="D64" s="1125" t="s">
        <v>2062</v>
      </c>
      <c r="E64" s="1126"/>
      <c r="F64" s="2390" t="s">
        <v>3419</v>
      </c>
      <c r="G64" s="2390"/>
      <c r="H64" s="2390"/>
      <c r="K64" s="1026" t="s">
        <v>254</v>
      </c>
    </row>
    <row r="65" spans="3:8" ht="12.75" customHeight="1">
      <c r="C65" s="1127" t="s">
        <v>1403</v>
      </c>
      <c r="D65" s="1125" t="s">
        <v>2064</v>
      </c>
      <c r="E65" s="2390" t="s">
        <v>3813</v>
      </c>
      <c r="F65" s="2390"/>
      <c r="G65" s="2390"/>
      <c r="H65" s="2390"/>
    </row>
    <row r="66" spans="3:8" ht="7.5" customHeight="1">
      <c r="E66" s="2390"/>
      <c r="F66" s="2390"/>
      <c r="G66" s="2390"/>
      <c r="H66" s="2390"/>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6" customWidth="1"/>
    <col min="2" max="2" width="12.42578125" style="656" customWidth="1"/>
    <col min="3" max="3" width="12.28515625" style="656" customWidth="1"/>
    <col min="4" max="4" width="9.7109375" style="656" customWidth="1"/>
    <col min="5" max="5" width="10.42578125" style="656" customWidth="1"/>
    <col min="6" max="6" width="9.140625" style="656"/>
    <col min="7" max="7" width="11" style="656" customWidth="1"/>
    <col min="8" max="8" width="14.42578125" style="656" customWidth="1"/>
    <col min="9" max="9" width="10.140625" style="656" customWidth="1"/>
    <col min="10" max="16384" width="9.140625" style="656"/>
  </cols>
  <sheetData>
    <row r="1" spans="2:13">
      <c r="B1" s="2435" t="s">
        <v>3421</v>
      </c>
      <c r="C1" s="2436"/>
      <c r="D1" s="2436"/>
      <c r="E1" s="2436"/>
      <c r="F1" s="2436"/>
      <c r="G1" s="2436"/>
      <c r="H1" s="2436"/>
      <c r="I1" s="2437"/>
    </row>
    <row r="2" spans="2:13">
      <c r="B2" s="2438" t="s">
        <v>3422</v>
      </c>
      <c r="C2" s="2439"/>
      <c r="D2" s="2439"/>
      <c r="E2" s="2439" t="s">
        <v>3423</v>
      </c>
      <c r="F2" s="2439"/>
      <c r="G2" s="2439"/>
      <c r="H2" s="2439" t="s">
        <v>641</v>
      </c>
      <c r="I2" s="2440"/>
      <c r="J2" s="664" t="s">
        <v>3258</v>
      </c>
      <c r="K2" s="664"/>
      <c r="L2" s="665"/>
      <c r="M2" s="665"/>
    </row>
    <row r="3" spans="2:13">
      <c r="B3" s="2441" t="str">
        <f>'Closing term sheet'!C8</f>
        <v xml:space="preserve">Wheat Street Senior, LP </v>
      </c>
      <c r="C3" s="2442"/>
      <c r="D3" s="2443"/>
      <c r="E3" s="2444"/>
      <c r="F3" s="2445"/>
      <c r="G3" s="2446"/>
      <c r="H3" s="2447" t="str">
        <f>'Preview term'!E15</f>
        <v>Wheat Street Tower</v>
      </c>
      <c r="I3" s="2448"/>
      <c r="K3" s="662"/>
    </row>
    <row r="4" spans="2:13" ht="15" customHeight="1">
      <c r="D4" s="870"/>
      <c r="E4" s="870"/>
      <c r="F4" s="870"/>
      <c r="G4" s="870"/>
      <c r="H4" s="870"/>
      <c r="I4" s="870"/>
      <c r="K4" s="662"/>
    </row>
    <row r="5" spans="2:13">
      <c r="B5" s="2422" t="s">
        <v>3424</v>
      </c>
      <c r="C5" s="2423"/>
      <c r="D5" s="666"/>
      <c r="H5" s="2433">
        <f>'Preview term'!E9</f>
        <v>0</v>
      </c>
      <c r="I5" s="2434"/>
    </row>
    <row r="6" spans="2:13" ht="7.5" customHeight="1">
      <c r="B6" s="718"/>
      <c r="C6" s="666"/>
      <c r="D6" s="666"/>
      <c r="E6" s="666"/>
      <c r="F6" s="666"/>
      <c r="G6" s="666"/>
      <c r="H6" s="666"/>
      <c r="I6" s="719"/>
    </row>
    <row r="7" spans="2:13">
      <c r="B7" s="737" t="s">
        <v>3425</v>
      </c>
      <c r="C7" s="738"/>
      <c r="D7" s="666"/>
      <c r="E7" s="668" t="s">
        <v>3426</v>
      </c>
      <c r="F7" s="666"/>
      <c r="G7" s="666"/>
      <c r="H7" s="666"/>
      <c r="I7" s="740" t="str">
        <f>'Closing term sheet'!D12</f>
        <v>&lt;&lt;Select&gt;&gt;</v>
      </c>
    </row>
    <row r="8" spans="2:13" ht="7.5" customHeight="1">
      <c r="B8" s="718"/>
      <c r="C8" s="666"/>
      <c r="D8" s="666"/>
      <c r="E8" s="666"/>
      <c r="F8" s="666"/>
      <c r="G8" s="666"/>
      <c r="H8" s="666"/>
      <c r="I8" s="719"/>
    </row>
    <row r="9" spans="2:13">
      <c r="B9" s="720" t="s">
        <v>3427</v>
      </c>
      <c r="C9" s="666"/>
      <c r="D9" s="667"/>
      <c r="E9" s="666"/>
      <c r="F9" s="666"/>
      <c r="G9" s="666"/>
      <c r="H9" s="666"/>
      <c r="I9" s="719"/>
    </row>
    <row r="10" spans="2:13">
      <c r="B10" s="720" t="s">
        <v>3428</v>
      </c>
      <c r="C10" s="666"/>
      <c r="D10" s="666"/>
      <c r="E10" s="666"/>
      <c r="F10" s="666"/>
      <c r="G10" s="666"/>
      <c r="H10" s="666"/>
      <c r="I10" s="740" t="s">
        <v>3157</v>
      </c>
    </row>
    <row r="11" spans="2:13">
      <c r="B11" s="718"/>
      <c r="C11" s="739"/>
      <c r="D11" s="666"/>
      <c r="E11" s="668" t="s">
        <v>3429</v>
      </c>
      <c r="F11" s="666"/>
      <c r="G11" s="666"/>
      <c r="H11" s="666"/>
      <c r="I11" s="719"/>
    </row>
    <row r="12" spans="2:13" ht="7.5" customHeight="1">
      <c r="B12" s="720"/>
      <c r="C12" s="666"/>
      <c r="D12" s="666"/>
      <c r="E12" s="666"/>
      <c r="F12" s="667"/>
      <c r="G12" s="666"/>
      <c r="H12" s="666"/>
      <c r="I12" s="719"/>
    </row>
    <row r="13" spans="2:13">
      <c r="B13" s="720" t="s">
        <v>3535</v>
      </c>
      <c r="C13" s="666"/>
      <c r="D13" s="666"/>
      <c r="E13" s="666"/>
      <c r="F13" s="663"/>
      <c r="G13" s="666"/>
      <c r="H13" s="666"/>
      <c r="I13" s="741"/>
    </row>
    <row r="14" spans="2:13">
      <c r="B14" s="721" t="s">
        <v>3534</v>
      </c>
      <c r="C14" s="666"/>
      <c r="D14" s="666"/>
      <c r="E14" s="736" t="s">
        <v>3685</v>
      </c>
      <c r="F14" s="666"/>
      <c r="G14" s="666"/>
      <c r="H14" s="666"/>
      <c r="I14" s="741"/>
    </row>
    <row r="15" spans="2:13" ht="7.5" customHeight="1">
      <c r="B15" s="718"/>
      <c r="C15" s="666"/>
      <c r="D15" s="666"/>
      <c r="E15" s="666"/>
      <c r="F15" s="666"/>
      <c r="G15" s="666"/>
      <c r="H15" s="666"/>
      <c r="I15" s="719"/>
    </row>
    <row r="16" spans="2:13">
      <c r="B16" s="720" t="s">
        <v>3430</v>
      </c>
      <c r="C16" s="666"/>
      <c r="D16" s="666"/>
      <c r="E16" s="666"/>
      <c r="F16" s="666"/>
      <c r="G16" s="666"/>
      <c r="H16" s="666"/>
      <c r="I16" s="740" t="s">
        <v>3157</v>
      </c>
    </row>
    <row r="17" spans="2:9" ht="7.5" customHeight="1">
      <c r="B17" s="722"/>
      <c r="C17" s="723"/>
      <c r="D17" s="723"/>
      <c r="E17" s="723"/>
      <c r="F17" s="723"/>
      <c r="G17" s="723"/>
      <c r="H17" s="723"/>
      <c r="I17" s="724"/>
    </row>
    <row r="18" spans="2:9" ht="15" customHeight="1">
      <c r="B18" s="666"/>
      <c r="C18" s="666"/>
      <c r="D18" s="666"/>
      <c r="E18" s="666"/>
      <c r="F18" s="666"/>
      <c r="G18" s="666"/>
      <c r="H18" s="666"/>
      <c r="I18" s="666"/>
    </row>
    <row r="19" spans="2:9" ht="7.5" customHeight="1">
      <c r="B19" s="725"/>
      <c r="C19" s="716"/>
      <c r="D19" s="716"/>
      <c r="E19" s="716"/>
      <c r="F19" s="716"/>
      <c r="G19" s="716"/>
      <c r="H19" s="716"/>
      <c r="I19" s="717"/>
    </row>
    <row r="20" spans="2:9">
      <c r="B20" s="720" t="s">
        <v>3431</v>
      </c>
      <c r="C20" s="666"/>
      <c r="D20" s="710">
        <v>2</v>
      </c>
      <c r="F20" s="666"/>
      <c r="G20" s="663" t="s">
        <v>3432</v>
      </c>
      <c r="H20" s="666"/>
      <c r="I20" s="726">
        <v>2</v>
      </c>
    </row>
    <row r="21" spans="2:9">
      <c r="B21" s="718"/>
      <c r="C21" s="736" t="s">
        <v>3433</v>
      </c>
      <c r="D21" s="672"/>
      <c r="E21" s="672"/>
      <c r="F21" s="672"/>
      <c r="H21" s="672" t="s">
        <v>3434</v>
      </c>
      <c r="I21" s="719"/>
    </row>
    <row r="22" spans="2:9">
      <c r="B22" s="718"/>
      <c r="C22" s="736" t="s">
        <v>3435</v>
      </c>
      <c r="D22" s="672"/>
      <c r="E22" s="672"/>
      <c r="F22" s="672"/>
      <c r="H22" s="672" t="s">
        <v>3436</v>
      </c>
      <c r="I22" s="719"/>
    </row>
    <row r="23" spans="2:9">
      <c r="B23" s="718"/>
      <c r="C23" s="736" t="s">
        <v>3437</v>
      </c>
      <c r="D23" s="672"/>
      <c r="E23" s="672"/>
      <c r="F23" s="672"/>
      <c r="H23" s="672" t="s">
        <v>3438</v>
      </c>
      <c r="I23" s="719"/>
    </row>
    <row r="24" spans="2:9" ht="7.5" customHeight="1">
      <c r="B24" s="722"/>
      <c r="C24" s="723"/>
      <c r="D24" s="723"/>
      <c r="E24" s="723"/>
      <c r="F24" s="723"/>
      <c r="G24" s="723"/>
      <c r="H24" s="723"/>
      <c r="I24" s="724"/>
    </row>
    <row r="25" spans="2:9" ht="15" customHeight="1"/>
    <row r="26" spans="2:9" ht="7.5" customHeight="1">
      <c r="B26" s="725"/>
      <c r="C26" s="716"/>
      <c r="D26" s="716"/>
      <c r="E26" s="716"/>
      <c r="F26" s="716"/>
      <c r="G26" s="716"/>
      <c r="H26" s="716"/>
      <c r="I26" s="717"/>
    </row>
    <row r="27" spans="2:9">
      <c r="B27" s="720" t="s">
        <v>3533</v>
      </c>
      <c r="C27" s="666"/>
      <c r="D27" s="711"/>
      <c r="F27" s="743" t="s">
        <v>3439</v>
      </c>
      <c r="H27" s="666"/>
      <c r="I27" s="719"/>
    </row>
    <row r="28" spans="2:9">
      <c r="B28" s="735" t="s">
        <v>3440</v>
      </c>
      <c r="C28" s="672"/>
      <c r="D28" s="672" t="s">
        <v>3441</v>
      </c>
      <c r="E28" s="666"/>
      <c r="F28" s="2424" t="str">
        <f>'Closing term sheet'!C30</f>
        <v>375 Auburn Avenue, NE</v>
      </c>
      <c r="G28" s="2425"/>
      <c r="H28" s="2425"/>
      <c r="I28" s="2426"/>
    </row>
    <row r="29" spans="2:9">
      <c r="B29" s="735" t="s">
        <v>3442</v>
      </c>
      <c r="D29" s="672" t="s">
        <v>3443</v>
      </c>
      <c r="E29" s="666"/>
      <c r="F29" s="2424"/>
      <c r="G29" s="2425"/>
      <c r="H29" s="2425"/>
      <c r="I29" s="2426"/>
    </row>
    <row r="30" spans="2:9">
      <c r="B30" s="735" t="s">
        <v>3444</v>
      </c>
      <c r="D30" s="666"/>
      <c r="E30" s="666"/>
      <c r="F30" s="2424"/>
      <c r="G30" s="2425"/>
      <c r="H30" s="2425"/>
      <c r="I30" s="2426"/>
    </row>
    <row r="31" spans="2:9" ht="7.5" customHeight="1">
      <c r="B31" s="718"/>
      <c r="C31" s="666"/>
      <c r="D31" s="666"/>
      <c r="E31" s="666"/>
      <c r="F31" s="666"/>
      <c r="G31" s="666"/>
      <c r="H31" s="666"/>
      <c r="I31" s="719"/>
    </row>
    <row r="32" spans="2:9">
      <c r="B32" s="733" t="s">
        <v>642</v>
      </c>
      <c r="C32" s="2427" t="str">
        <f>'Part I-Project Information'!F28</f>
        <v>Atlanta</v>
      </c>
      <c r="D32" s="2428"/>
      <c r="E32" s="671" t="s">
        <v>1865</v>
      </c>
      <c r="F32" s="709" t="s">
        <v>880</v>
      </c>
      <c r="G32" s="671" t="s">
        <v>3445</v>
      </c>
      <c r="H32" s="713">
        <f>'Part I-Project Information'!J28</f>
        <v>303121517</v>
      </c>
      <c r="I32" s="719"/>
    </row>
    <row r="33" spans="2:9">
      <c r="B33" s="733" t="s">
        <v>643</v>
      </c>
      <c r="C33" s="2427" t="str">
        <f>'Part I-Project Information'!J29</f>
        <v>Fulton</v>
      </c>
      <c r="D33" s="2428"/>
      <c r="E33" s="666"/>
      <c r="F33" s="666"/>
      <c r="G33" s="666"/>
      <c r="H33" s="666"/>
      <c r="I33" s="719"/>
    </row>
    <row r="34" spans="2:9">
      <c r="B34" s="734" t="s">
        <v>3446</v>
      </c>
      <c r="C34" s="2429" t="e">
        <f>'Subsidy Layering WS'!D12</f>
        <v>#REF!</v>
      </c>
      <c r="D34" s="2430"/>
      <c r="E34" s="666"/>
      <c r="F34" s="668" t="s">
        <v>3447</v>
      </c>
      <c r="G34" s="666"/>
      <c r="H34" s="666"/>
      <c r="I34" s="719"/>
    </row>
    <row r="35" spans="2:9">
      <c r="B35" s="734" t="s">
        <v>3802</v>
      </c>
      <c r="C35" s="2431">
        <f>'Closing term sheet'!D64</f>
        <v>11317799</v>
      </c>
      <c r="D35" s="2432"/>
      <c r="E35" s="666"/>
      <c r="F35" s="668" t="s">
        <v>3448</v>
      </c>
      <c r="G35" s="666"/>
      <c r="H35" s="666"/>
      <c r="I35" s="719"/>
    </row>
    <row r="36" spans="2:9">
      <c r="B36" s="727" t="s">
        <v>3449</v>
      </c>
      <c r="C36" s="670"/>
      <c r="D36" s="712"/>
      <c r="E36" s="666"/>
      <c r="F36" s="668" t="s">
        <v>3450</v>
      </c>
      <c r="G36" s="666"/>
      <c r="H36" s="666"/>
      <c r="I36" s="719"/>
    </row>
    <row r="37" spans="2:9" ht="7.5" customHeight="1">
      <c r="B37" s="722"/>
      <c r="C37" s="723"/>
      <c r="D37" s="723"/>
      <c r="E37" s="723"/>
      <c r="F37" s="723"/>
      <c r="G37" s="723"/>
      <c r="H37" s="723"/>
      <c r="I37" s="724"/>
    </row>
    <row r="38" spans="2:9" ht="15" customHeight="1"/>
    <row r="39" spans="2:9" ht="7.5" customHeight="1">
      <c r="B39" s="725"/>
      <c r="C39" s="716"/>
      <c r="D39" s="716"/>
      <c r="E39" s="716"/>
      <c r="F39" s="716"/>
      <c r="G39" s="716"/>
      <c r="H39" s="716"/>
      <c r="I39" s="717"/>
    </row>
    <row r="40" spans="2:9">
      <c r="B40" s="2416" t="s">
        <v>3451</v>
      </c>
      <c r="C40" s="2417"/>
      <c r="D40" s="2417"/>
      <c r="E40" s="2417"/>
      <c r="F40" s="2417"/>
      <c r="G40" s="2417"/>
      <c r="H40" s="2417"/>
      <c r="I40" s="2418"/>
    </row>
    <row r="41" spans="2:9" ht="7.5" customHeight="1">
      <c r="B41" s="2412"/>
      <c r="C41" s="2413"/>
      <c r="D41" s="2413"/>
      <c r="E41" s="666"/>
      <c r="F41" s="666"/>
      <c r="G41" s="728"/>
      <c r="H41" s="666"/>
      <c r="I41" s="719"/>
    </row>
    <row r="42" spans="2:9">
      <c r="B42" s="729" t="s">
        <v>3453</v>
      </c>
      <c r="C42" s="666"/>
      <c r="D42" s="714">
        <v>4</v>
      </c>
      <c r="F42" s="666"/>
      <c r="G42" s="2414" t="s">
        <v>3452</v>
      </c>
      <c r="H42" s="2414"/>
      <c r="I42" s="2415"/>
    </row>
    <row r="43" spans="2:9">
      <c r="B43" s="718"/>
      <c r="C43" s="672" t="s">
        <v>3456</v>
      </c>
      <c r="D43" s="672" t="s">
        <v>3457</v>
      </c>
      <c r="F43" s="666"/>
      <c r="G43" s="882" t="s">
        <v>3454</v>
      </c>
      <c r="H43" s="666"/>
      <c r="I43" s="730" t="e">
        <f>Overview!C13</f>
        <v>#REF!</v>
      </c>
    </row>
    <row r="44" spans="2:9">
      <c r="B44" s="718"/>
      <c r="C44" s="672" t="s">
        <v>3458</v>
      </c>
      <c r="D44" s="672" t="s">
        <v>3459</v>
      </c>
      <c r="F44" s="666"/>
      <c r="G44" s="731" t="s">
        <v>3455</v>
      </c>
      <c r="H44" s="666"/>
      <c r="I44" s="730" t="e">
        <f>C34</f>
        <v>#REF!</v>
      </c>
    </row>
    <row r="45" spans="2:9">
      <c r="B45" s="735"/>
      <c r="C45" s="672" t="s">
        <v>3460</v>
      </c>
      <c r="D45" s="666"/>
      <c r="E45" s="672"/>
      <c r="F45" s="666"/>
      <c r="H45" s="666"/>
      <c r="I45" s="742"/>
    </row>
    <row r="46" spans="2:9" ht="7.5" customHeight="1">
      <c r="B46" s="722"/>
      <c r="C46" s="723"/>
      <c r="D46" s="723"/>
      <c r="E46" s="723"/>
      <c r="F46" s="723"/>
      <c r="G46" s="723"/>
      <c r="H46" s="723"/>
      <c r="I46" s="724"/>
    </row>
    <row r="47" spans="2:9" ht="15" customHeight="1">
      <c r="B47" s="666"/>
      <c r="C47" s="666"/>
      <c r="D47" s="666"/>
      <c r="E47" s="666"/>
      <c r="F47" s="666"/>
      <c r="G47" s="666"/>
      <c r="H47" s="666"/>
      <c r="I47" s="666"/>
    </row>
    <row r="48" spans="2:9" ht="7.5" customHeight="1">
      <c r="B48" s="725"/>
      <c r="C48" s="716"/>
      <c r="D48" s="716"/>
      <c r="E48" s="716"/>
      <c r="F48" s="716"/>
      <c r="G48" s="716"/>
      <c r="H48" s="716"/>
      <c r="I48" s="717"/>
    </row>
    <row r="49" spans="2:9">
      <c r="B49" s="720" t="s">
        <v>3461</v>
      </c>
      <c r="C49" s="666"/>
      <c r="D49" s="666"/>
      <c r="E49" s="666"/>
      <c r="F49" s="666"/>
      <c r="G49" s="666"/>
      <c r="H49" s="666"/>
      <c r="I49" s="719"/>
    </row>
    <row r="50" spans="2:9" ht="7.5" customHeight="1">
      <c r="B50" s="718"/>
      <c r="C50" s="666"/>
      <c r="D50" s="666"/>
      <c r="E50" s="666"/>
      <c r="F50" s="666"/>
      <c r="G50" s="666"/>
      <c r="H50" s="666"/>
      <c r="I50" s="719"/>
    </row>
    <row r="51" spans="2:9">
      <c r="B51" s="720" t="s">
        <v>3462</v>
      </c>
      <c r="D51" s="666"/>
      <c r="E51" s="666"/>
      <c r="F51" s="666"/>
      <c r="G51" s="666"/>
      <c r="H51" s="666"/>
      <c r="I51" s="711"/>
    </row>
    <row r="52" spans="2:9" ht="7.5" customHeight="1">
      <c r="B52" s="718"/>
      <c r="C52" s="666"/>
      <c r="D52" s="666"/>
      <c r="E52" s="666"/>
      <c r="F52" s="666"/>
      <c r="G52" s="666"/>
      <c r="H52" s="666"/>
      <c r="I52" s="719"/>
    </row>
    <row r="53" spans="2:9">
      <c r="B53" s="718" t="s">
        <v>3463</v>
      </c>
      <c r="D53" s="666"/>
      <c r="E53" s="666"/>
      <c r="F53" s="666" t="s">
        <v>3536</v>
      </c>
      <c r="G53" s="666"/>
      <c r="H53" s="666"/>
      <c r="I53" s="715"/>
    </row>
    <row r="54" spans="2:9">
      <c r="B54" s="718"/>
      <c r="E54" s="666"/>
      <c r="F54" s="666" t="s">
        <v>3537</v>
      </c>
      <c r="G54" s="666"/>
      <c r="H54" s="666"/>
      <c r="I54" s="715"/>
    </row>
    <row r="55" spans="2:9">
      <c r="B55" s="718"/>
      <c r="E55" s="666"/>
      <c r="F55" s="666" t="s">
        <v>3538</v>
      </c>
      <c r="G55" s="666"/>
      <c r="H55" s="666"/>
      <c r="I55" s="715"/>
    </row>
    <row r="56" spans="2:9">
      <c r="B56" s="718"/>
      <c r="E56" s="666"/>
      <c r="F56" s="663" t="s">
        <v>3539</v>
      </c>
      <c r="G56" s="666"/>
      <c r="H56" s="666"/>
      <c r="I56" s="715"/>
    </row>
    <row r="57" spans="2:9" ht="7.5" customHeight="1">
      <c r="B57" s="722"/>
      <c r="C57" s="723"/>
      <c r="D57" s="723"/>
      <c r="E57" s="723"/>
      <c r="F57" s="723"/>
      <c r="G57" s="723"/>
      <c r="H57" s="723"/>
      <c r="I57" s="724"/>
    </row>
    <row r="58" spans="2:9" ht="7.5" customHeight="1"/>
    <row r="59" spans="2:9">
      <c r="B59" s="725"/>
      <c r="C59" s="716"/>
      <c r="D59" s="716"/>
      <c r="E59" s="716"/>
      <c r="F59" s="716"/>
      <c r="G59" s="716"/>
      <c r="H59" s="716"/>
      <c r="I59" s="717"/>
    </row>
    <row r="60" spans="2:9">
      <c r="B60" s="2416" t="s">
        <v>3464</v>
      </c>
      <c r="C60" s="2417"/>
      <c r="D60" s="2417"/>
      <c r="E60" s="2417"/>
      <c r="F60" s="2417"/>
      <c r="G60" s="2417"/>
      <c r="H60" s="2417"/>
      <c r="I60" s="2418"/>
    </row>
    <row r="61" spans="2:9">
      <c r="B61" s="718"/>
      <c r="C61" s="666"/>
      <c r="D61" s="666"/>
      <c r="E61" s="666"/>
      <c r="F61" s="666"/>
      <c r="G61" s="666"/>
      <c r="H61" s="666"/>
      <c r="I61" s="719"/>
    </row>
    <row r="62" spans="2:9">
      <c r="B62" s="720" t="s">
        <v>3465</v>
      </c>
      <c r="C62" s="666"/>
      <c r="D62" s="666"/>
      <c r="E62" s="666"/>
      <c r="F62" s="666"/>
      <c r="G62" s="666"/>
      <c r="H62" s="666"/>
      <c r="I62" s="719"/>
    </row>
    <row r="63" spans="2:9">
      <c r="B63" s="718"/>
      <c r="C63" s="663" t="s">
        <v>3466</v>
      </c>
      <c r="D63" s="666"/>
      <c r="E63" s="666"/>
      <c r="F63" s="2410">
        <f>'Closing term sheet'!D64</f>
        <v>11317799</v>
      </c>
      <c r="G63" s="2410"/>
      <c r="H63" s="666"/>
      <c r="I63" s="719"/>
    </row>
    <row r="64" spans="2:9">
      <c r="B64" s="718"/>
      <c r="C64" s="663" t="s">
        <v>3467</v>
      </c>
      <c r="D64" s="666"/>
      <c r="E64" s="666"/>
      <c r="F64" s="2419">
        <f>'Part III-Sources of Funds'!I43+'Part III-Sources of Funds'!I44</f>
        <v>0</v>
      </c>
      <c r="G64" s="2419"/>
      <c r="H64" s="666"/>
      <c r="I64" s="719"/>
    </row>
    <row r="65" spans="2:9">
      <c r="B65" s="718"/>
      <c r="C65" s="663" t="s">
        <v>3468</v>
      </c>
      <c r="D65" s="666"/>
      <c r="E65" s="666"/>
      <c r="F65" s="2420"/>
      <c r="G65" s="2420"/>
      <c r="H65" s="666"/>
      <c r="I65" s="719"/>
    </row>
    <row r="66" spans="2:9">
      <c r="B66" s="718"/>
      <c r="C66" s="672" t="s">
        <v>3469</v>
      </c>
      <c r="D66" s="666"/>
      <c r="E66" s="666"/>
      <c r="F66" s="2419">
        <v>11000</v>
      </c>
      <c r="G66" s="2419"/>
      <c r="H66" s="666"/>
      <c r="I66" s="719"/>
    </row>
    <row r="67" spans="2:9">
      <c r="B67" s="718"/>
      <c r="C67" s="663" t="s">
        <v>3470</v>
      </c>
      <c r="D67" s="666"/>
      <c r="E67" s="666"/>
      <c r="F67" s="2411"/>
      <c r="G67" s="2411"/>
      <c r="H67" s="666"/>
      <c r="I67" s="719"/>
    </row>
    <row r="68" spans="2:9">
      <c r="B68" s="718"/>
      <c r="C68" s="668" t="s">
        <v>3471</v>
      </c>
      <c r="D68" s="666"/>
      <c r="E68" s="666"/>
      <c r="F68" s="2406">
        <f>SUM(F63:G67)</f>
        <v>11328799</v>
      </c>
      <c r="G68" s="2406"/>
      <c r="H68" s="666"/>
      <c r="I68" s="719"/>
    </row>
    <row r="69" spans="2:9">
      <c r="B69" s="718"/>
      <c r="C69" s="666"/>
      <c r="D69" s="666"/>
      <c r="E69" s="666"/>
      <c r="F69" s="2421"/>
      <c r="G69" s="2421"/>
      <c r="H69" s="666"/>
      <c r="I69" s="719"/>
    </row>
    <row r="70" spans="2:9">
      <c r="B70" s="720" t="s">
        <v>3472</v>
      </c>
      <c r="C70" s="666"/>
      <c r="D70" s="666"/>
      <c r="E70" s="666"/>
      <c r="F70" s="666"/>
      <c r="G70" s="666"/>
      <c r="H70" s="666"/>
      <c r="I70" s="719"/>
    </row>
    <row r="71" spans="2:9">
      <c r="B71" s="718"/>
      <c r="C71" s="663" t="s">
        <v>3473</v>
      </c>
      <c r="D71" s="666"/>
      <c r="E71" s="666"/>
      <c r="F71" s="2410"/>
      <c r="G71" s="2410"/>
      <c r="H71" s="666"/>
      <c r="I71" s="719"/>
    </row>
    <row r="72" spans="2:9">
      <c r="B72" s="718"/>
      <c r="C72" s="663" t="s">
        <v>3474</v>
      </c>
      <c r="D72" s="666"/>
      <c r="E72" s="666"/>
      <c r="F72" s="2408"/>
      <c r="G72" s="2408"/>
      <c r="H72" s="666"/>
      <c r="I72" s="719"/>
    </row>
    <row r="73" spans="2:9">
      <c r="B73" s="718"/>
      <c r="C73" s="663" t="s">
        <v>3475</v>
      </c>
      <c r="D73" s="666"/>
      <c r="E73" s="666"/>
      <c r="F73" s="2409" t="s">
        <v>3339</v>
      </c>
      <c r="G73" s="2407"/>
      <c r="H73" s="666"/>
      <c r="I73" s="719"/>
    </row>
    <row r="74" spans="2:9">
      <c r="B74" s="718"/>
      <c r="C74" s="668" t="s">
        <v>3476</v>
      </c>
      <c r="D74" s="666"/>
      <c r="E74" s="666"/>
      <c r="F74" s="2406">
        <f>+SUM(F71:G73)</f>
        <v>0</v>
      </c>
      <c r="G74" s="2406"/>
      <c r="H74" s="666"/>
      <c r="I74" s="719"/>
    </row>
    <row r="75" spans="2:9">
      <c r="B75" s="718"/>
      <c r="C75" s="666"/>
      <c r="D75" s="666"/>
      <c r="E75" s="666"/>
      <c r="F75" s="666"/>
      <c r="G75" s="666"/>
      <c r="H75" s="666"/>
      <c r="I75" s="719"/>
    </row>
    <row r="76" spans="2:9">
      <c r="B76" s="720" t="s">
        <v>3477</v>
      </c>
      <c r="C76" s="666"/>
      <c r="D76" s="666"/>
      <c r="E76" s="666"/>
      <c r="F76" s="666"/>
      <c r="G76" s="666"/>
      <c r="H76" s="666"/>
      <c r="I76" s="719"/>
    </row>
    <row r="77" spans="2:9">
      <c r="B77" s="718"/>
      <c r="C77" s="663" t="s">
        <v>3478</v>
      </c>
      <c r="D77" s="666"/>
      <c r="E77" s="666"/>
      <c r="F77" s="2410"/>
      <c r="G77" s="2410"/>
      <c r="H77" s="666"/>
      <c r="I77" s="719"/>
    </row>
    <row r="78" spans="2:9">
      <c r="B78" s="718"/>
      <c r="C78" s="663" t="s">
        <v>3479</v>
      </c>
      <c r="D78" s="666"/>
      <c r="E78" s="666"/>
      <c r="F78" s="2408"/>
      <c r="G78" s="2408"/>
      <c r="H78" s="666"/>
      <c r="I78" s="719"/>
    </row>
    <row r="79" spans="2:9">
      <c r="B79" s="718"/>
      <c r="C79" s="663" t="s">
        <v>3480</v>
      </c>
      <c r="D79" s="666"/>
      <c r="E79" s="666"/>
      <c r="F79" s="2411"/>
      <c r="G79" s="2411"/>
      <c r="H79" s="666"/>
      <c r="I79" s="719"/>
    </row>
    <row r="80" spans="2:9">
      <c r="B80" s="718"/>
      <c r="C80" s="668" t="s">
        <v>3481</v>
      </c>
      <c r="D80" s="666"/>
      <c r="E80" s="666"/>
      <c r="F80" s="2406">
        <f>+SUM(F77:G79)</f>
        <v>0</v>
      </c>
      <c r="G80" s="2406"/>
      <c r="H80" s="666"/>
      <c r="I80" s="719"/>
    </row>
    <row r="81" spans="2:9">
      <c r="B81" s="718"/>
      <c r="C81" s="666"/>
      <c r="D81" s="666"/>
      <c r="E81" s="666"/>
      <c r="F81" s="666"/>
      <c r="G81" s="666"/>
      <c r="H81" s="666"/>
      <c r="I81" s="719"/>
    </row>
    <row r="82" spans="2:9">
      <c r="B82" s="729" t="s">
        <v>3482</v>
      </c>
      <c r="C82" s="663"/>
      <c r="D82" s="666"/>
      <c r="E82" s="666"/>
      <c r="F82" s="2407">
        <f>'Part III-Sources of Funds'!I45+'Part III-Sources of Funds'!I46</f>
        <v>13719505</v>
      </c>
      <c r="G82" s="2407"/>
      <c r="H82" s="666"/>
      <c r="I82" s="719"/>
    </row>
    <row r="83" spans="2:9">
      <c r="B83" s="718"/>
      <c r="C83" s="666"/>
      <c r="D83" s="666"/>
      <c r="E83" s="666"/>
      <c r="F83" s="666"/>
      <c r="G83" s="666"/>
      <c r="H83" s="666"/>
      <c r="I83" s="732" t="s">
        <v>3483</v>
      </c>
    </row>
    <row r="84" spans="2:9">
      <c r="B84" s="720" t="s">
        <v>3484</v>
      </c>
      <c r="C84" s="666"/>
      <c r="D84" s="666"/>
      <c r="E84" s="666"/>
      <c r="F84" s="2407">
        <f>+F82+F80+F74+F68</f>
        <v>25048304</v>
      </c>
      <c r="G84" s="2407"/>
      <c r="H84" s="666"/>
      <c r="I84" s="719"/>
    </row>
    <row r="85" spans="2:9">
      <c r="B85" s="722"/>
      <c r="C85" s="723"/>
      <c r="D85" s="723"/>
      <c r="E85" s="723"/>
      <c r="F85" s="723"/>
      <c r="G85" s="723"/>
      <c r="H85" s="723"/>
      <c r="I85" s="724"/>
    </row>
    <row r="87" spans="2:9">
      <c r="C87" s="673" t="s">
        <v>3154</v>
      </c>
    </row>
    <row r="88" spans="2:9">
      <c r="C88" s="673" t="s">
        <v>3157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171" customWidth="1"/>
    <col min="2" max="13" width="7.140625" style="3171" customWidth="1"/>
    <col min="14" max="15" width="5.85546875" style="3171" customWidth="1"/>
    <col min="16" max="16384" width="8.85546875" style="3171"/>
  </cols>
  <sheetData>
    <row r="1" spans="1:26" ht="19.5">
      <c r="N1" s="3172" t="s">
        <v>1555</v>
      </c>
      <c r="O1" s="3172"/>
      <c r="P1" s="3172"/>
      <c r="Q1" s="3172"/>
      <c r="R1" s="3172"/>
      <c r="S1" s="3172"/>
      <c r="T1" s="3172"/>
      <c r="U1" s="3172"/>
      <c r="V1" s="3172"/>
      <c r="W1" s="3172"/>
      <c r="X1" s="3172"/>
      <c r="Y1" s="3172"/>
      <c r="Z1" s="3172"/>
    </row>
    <row r="3" spans="1:26">
      <c r="N3" s="3173" t="s">
        <v>1556</v>
      </c>
      <c r="O3" s="3173"/>
      <c r="P3" s="3173"/>
      <c r="Q3" s="3173"/>
      <c r="R3" s="3173"/>
      <c r="S3" s="3173"/>
      <c r="T3" s="3173"/>
      <c r="U3" s="3173"/>
      <c r="V3" s="3173"/>
      <c r="W3" s="3173"/>
      <c r="X3" s="3173"/>
      <c r="Y3" s="3173"/>
      <c r="Z3" s="3173"/>
    </row>
    <row r="4" spans="1:26">
      <c r="N4" s="3174" t="s">
        <v>1557</v>
      </c>
      <c r="O4" s="3174"/>
      <c r="P4" s="3174"/>
      <c r="Q4" s="3174"/>
      <c r="R4" s="3174"/>
      <c r="S4" s="3174"/>
      <c r="T4" s="3174"/>
      <c r="U4" s="3174"/>
      <c r="V4" s="3174"/>
      <c r="W4" s="3174"/>
      <c r="X4" s="3174"/>
      <c r="Y4" s="3174"/>
      <c r="Z4" s="3174"/>
    </row>
    <row r="5" spans="1:26">
      <c r="B5" s="3175"/>
      <c r="C5" s="3175"/>
      <c r="D5" s="3175"/>
      <c r="E5" s="3175"/>
      <c r="F5" s="3175"/>
      <c r="G5" s="3175"/>
      <c r="H5" s="3175"/>
      <c r="I5" s="3175"/>
      <c r="J5" s="3175"/>
      <c r="K5" s="3175"/>
      <c r="L5" s="3175"/>
      <c r="M5" s="3175"/>
      <c r="N5" s="3176" t="s">
        <v>730</v>
      </c>
    </row>
    <row r="6" spans="1:26" ht="57" customHeight="1">
      <c r="A6" s="3177" t="s">
        <v>2866</v>
      </c>
      <c r="B6" s="3177"/>
      <c r="C6" s="3177"/>
      <c r="D6" s="3177"/>
      <c r="E6" s="3177"/>
      <c r="F6" s="3177"/>
      <c r="G6" s="3177"/>
      <c r="H6" s="3177"/>
      <c r="I6" s="3177"/>
      <c r="J6" s="3177"/>
      <c r="K6" s="3177"/>
      <c r="L6" s="3177"/>
      <c r="M6" s="3177"/>
    </row>
    <row r="7" spans="1:26" ht="11.45" customHeight="1">
      <c r="A7" s="3175"/>
      <c r="B7" s="3175"/>
      <c r="C7" s="3175"/>
      <c r="D7" s="3175"/>
      <c r="E7" s="3175"/>
      <c r="F7" s="3175"/>
      <c r="G7" s="3175"/>
      <c r="H7" s="3175"/>
      <c r="I7" s="3175"/>
      <c r="J7" s="3175"/>
      <c r="K7" s="3175"/>
      <c r="L7" s="3175"/>
      <c r="M7" s="3175"/>
    </row>
    <row r="8" spans="1:26">
      <c r="A8" s="3175" t="s">
        <v>735</v>
      </c>
      <c r="B8" s="3175"/>
      <c r="C8" s="3175"/>
      <c r="D8" s="3175"/>
      <c r="E8" s="3175"/>
      <c r="F8" s="3175"/>
      <c r="G8" s="3175"/>
      <c r="H8" s="3175"/>
      <c r="I8" s="3175"/>
      <c r="J8" s="3175"/>
      <c r="K8" s="3175"/>
      <c r="L8" s="3175"/>
      <c r="M8" s="3175"/>
    </row>
    <row r="9" spans="1:26" ht="11.45" customHeight="1">
      <c r="A9" s="3175"/>
      <c r="B9" s="3175"/>
      <c r="C9" s="3175"/>
      <c r="D9" s="3175"/>
      <c r="E9" s="3175"/>
      <c r="F9" s="3175"/>
      <c r="G9" s="3175"/>
      <c r="H9" s="3175"/>
      <c r="I9" s="3175"/>
      <c r="J9" s="3175"/>
      <c r="K9" s="3175"/>
      <c r="L9" s="3175"/>
      <c r="M9" s="3175"/>
    </row>
    <row r="10" spans="1:26">
      <c r="A10" s="3178" t="s">
        <v>1980</v>
      </c>
      <c r="B10" s="3178"/>
      <c r="C10" s="3178"/>
      <c r="D10" s="3178"/>
      <c r="E10" s="3178"/>
      <c r="F10" s="3178"/>
      <c r="G10" s="3178"/>
      <c r="H10" s="3178"/>
      <c r="I10" s="3178"/>
      <c r="J10" s="3178"/>
      <c r="K10" s="3178"/>
      <c r="L10" s="3178"/>
      <c r="M10" s="3178"/>
    </row>
    <row r="11" spans="1:26" ht="6.75" customHeight="1">
      <c r="A11" s="3178"/>
      <c r="B11" s="3178"/>
      <c r="C11" s="3178"/>
      <c r="D11" s="3178"/>
      <c r="E11" s="3178"/>
      <c r="F11" s="3178"/>
      <c r="G11" s="3178"/>
      <c r="H11" s="3178"/>
      <c r="I11" s="3178"/>
      <c r="J11" s="3178"/>
      <c r="K11" s="3178"/>
      <c r="L11" s="3178"/>
      <c r="M11" s="3178"/>
    </row>
    <row r="12" spans="1:26" ht="44.25" customHeight="1">
      <c r="A12" s="3179" t="s">
        <v>4126</v>
      </c>
      <c r="B12" s="3179"/>
      <c r="C12" s="3179"/>
      <c r="D12" s="3179"/>
      <c r="E12" s="3179"/>
      <c r="F12" s="3179"/>
      <c r="G12" s="3179"/>
      <c r="H12" s="3179"/>
      <c r="I12" s="3179"/>
      <c r="J12" s="3179"/>
      <c r="K12" s="3179"/>
      <c r="L12" s="3179"/>
      <c r="M12" s="3179"/>
    </row>
    <row r="13" spans="1:26" ht="3" customHeight="1">
      <c r="A13" s="3178"/>
      <c r="B13" s="3178"/>
      <c r="C13" s="3178"/>
      <c r="D13" s="3178"/>
      <c r="E13" s="3178"/>
      <c r="F13" s="3178"/>
      <c r="G13" s="3178"/>
      <c r="H13" s="3178"/>
      <c r="I13" s="3178"/>
      <c r="J13" s="3178"/>
      <c r="K13" s="3178"/>
      <c r="L13" s="3178"/>
      <c r="M13" s="3178"/>
    </row>
    <row r="14" spans="1:26" ht="104.25" customHeight="1">
      <c r="A14" s="3180" t="s">
        <v>1803</v>
      </c>
      <c r="B14" s="3181" t="s">
        <v>4127</v>
      </c>
      <c r="C14" s="3181"/>
      <c r="D14" s="3181"/>
      <c r="E14" s="3181"/>
      <c r="F14" s="3181"/>
      <c r="G14" s="3181"/>
      <c r="H14" s="3181"/>
      <c r="I14" s="3181"/>
      <c r="J14" s="3181"/>
      <c r="K14" s="3181"/>
      <c r="L14" s="3181"/>
      <c r="M14" s="3181"/>
    </row>
    <row r="15" spans="1:26" ht="57.75" customHeight="1">
      <c r="A15" s="3180" t="s">
        <v>1804</v>
      </c>
      <c r="B15" s="3181" t="s">
        <v>4128</v>
      </c>
      <c r="C15" s="3181"/>
      <c r="D15" s="3181"/>
      <c r="E15" s="3181"/>
      <c r="F15" s="3181"/>
      <c r="G15" s="3181"/>
      <c r="H15" s="3181"/>
      <c r="I15" s="3181"/>
      <c r="J15" s="3181"/>
      <c r="K15" s="3181"/>
      <c r="L15" s="3181"/>
      <c r="M15" s="3181"/>
    </row>
    <row r="16" spans="1:26" ht="119.25" customHeight="1">
      <c r="A16" s="3180" t="s">
        <v>1805</v>
      </c>
      <c r="B16" s="3181" t="s">
        <v>4129</v>
      </c>
      <c r="C16" s="3181"/>
      <c r="D16" s="3181"/>
      <c r="E16" s="3181"/>
      <c r="F16" s="3181"/>
      <c r="G16" s="3181"/>
      <c r="H16" s="3181"/>
      <c r="I16" s="3181"/>
      <c r="J16" s="3181"/>
      <c r="K16" s="3181"/>
      <c r="L16" s="3181"/>
      <c r="M16" s="3181"/>
    </row>
    <row r="17" spans="1:13" ht="159.75" customHeight="1">
      <c r="A17" s="3180" t="s">
        <v>2448</v>
      </c>
      <c r="B17" s="3181" t="s">
        <v>3708</v>
      </c>
      <c r="C17" s="3181"/>
      <c r="D17" s="3181"/>
      <c r="E17" s="3181"/>
      <c r="F17" s="3181"/>
      <c r="G17" s="3181"/>
      <c r="H17" s="3181"/>
      <c r="I17" s="3181"/>
      <c r="J17" s="3181"/>
      <c r="K17" s="3181"/>
      <c r="L17" s="3181"/>
      <c r="M17" s="3181"/>
    </row>
    <row r="18" spans="1:13" ht="45" customHeight="1">
      <c r="A18" s="3180" t="s">
        <v>1606</v>
      </c>
      <c r="B18" s="3181" t="s">
        <v>709</v>
      </c>
      <c r="C18" s="3181"/>
      <c r="D18" s="3181"/>
      <c r="E18" s="3181"/>
      <c r="F18" s="3181"/>
      <c r="G18" s="3181"/>
      <c r="H18" s="3181"/>
      <c r="I18" s="3181"/>
      <c r="J18" s="3181"/>
      <c r="K18" s="3181"/>
      <c r="L18" s="3181"/>
      <c r="M18" s="3181"/>
    </row>
    <row r="19" spans="1:13" ht="177.75" customHeight="1">
      <c r="A19" s="3180" t="s">
        <v>1607</v>
      </c>
      <c r="B19" s="3181" t="s">
        <v>3707</v>
      </c>
      <c r="C19" s="3181"/>
      <c r="D19" s="3181"/>
      <c r="E19" s="3181"/>
      <c r="F19" s="3181"/>
      <c r="G19" s="3181"/>
      <c r="H19" s="3181"/>
      <c r="I19" s="3181"/>
      <c r="J19" s="3181"/>
      <c r="K19" s="3181"/>
      <c r="L19" s="3181"/>
      <c r="M19" s="3181"/>
    </row>
    <row r="20" spans="1:13" ht="57" customHeight="1">
      <c r="A20" s="3180" t="s">
        <v>100</v>
      </c>
      <c r="B20" s="3182" t="s">
        <v>4130</v>
      </c>
      <c r="C20" s="3182"/>
      <c r="D20" s="3182"/>
      <c r="E20" s="3182"/>
      <c r="F20" s="3182"/>
      <c r="G20" s="3182"/>
      <c r="H20" s="3182"/>
      <c r="I20" s="3182"/>
      <c r="J20" s="3182"/>
      <c r="K20" s="3182"/>
      <c r="L20" s="3182"/>
      <c r="M20" s="3182"/>
    </row>
    <row r="21" spans="1:13" ht="57.75" customHeight="1">
      <c r="A21" s="3180" t="s">
        <v>530</v>
      </c>
      <c r="B21" s="3181" t="s">
        <v>3710</v>
      </c>
      <c r="C21" s="3181"/>
      <c r="D21" s="3181"/>
      <c r="E21" s="3181"/>
      <c r="F21" s="3181"/>
      <c r="G21" s="3181"/>
      <c r="H21" s="3181"/>
      <c r="I21" s="3181"/>
      <c r="J21" s="3181"/>
      <c r="K21" s="3181"/>
      <c r="L21" s="3181"/>
      <c r="M21" s="3181"/>
    </row>
    <row r="22" spans="1:13" ht="28.5" customHeight="1">
      <c r="A22" s="3180" t="s">
        <v>531</v>
      </c>
      <c r="B22" s="3181" t="s">
        <v>3763</v>
      </c>
      <c r="C22" s="3181"/>
      <c r="D22" s="3181"/>
      <c r="E22" s="3181"/>
      <c r="F22" s="3181"/>
      <c r="G22" s="3181"/>
      <c r="H22" s="3181"/>
      <c r="I22" s="3181"/>
      <c r="J22" s="3181"/>
      <c r="K22" s="3181"/>
      <c r="L22" s="3181"/>
      <c r="M22" s="3181"/>
    </row>
    <row r="23" spans="1:13" ht="1.5" customHeight="1">
      <c r="A23" s="3178"/>
      <c r="B23" s="3178"/>
      <c r="C23" s="3178"/>
      <c r="D23" s="3178"/>
      <c r="E23" s="3178"/>
      <c r="F23" s="3178"/>
      <c r="G23" s="3178"/>
      <c r="H23" s="3178"/>
      <c r="I23" s="3178"/>
      <c r="J23" s="3178"/>
      <c r="K23" s="3178"/>
      <c r="L23" s="3178"/>
      <c r="M23" s="3178"/>
    </row>
    <row r="24" spans="1:13" ht="3" customHeight="1">
      <c r="A24" s="3178"/>
      <c r="B24" s="3178"/>
      <c r="C24" s="3178"/>
      <c r="D24" s="3178"/>
      <c r="E24" s="3178"/>
      <c r="F24" s="3178"/>
      <c r="G24" s="3178"/>
      <c r="H24" s="3178"/>
      <c r="I24" s="3178"/>
      <c r="J24" s="3178"/>
      <c r="K24" s="3178"/>
      <c r="L24" s="3178"/>
      <c r="M24" s="3178"/>
    </row>
    <row r="25" spans="1:13" ht="13.5" customHeight="1">
      <c r="A25" s="3178" t="s">
        <v>1521</v>
      </c>
      <c r="B25" s="3178"/>
      <c r="C25" s="3178"/>
      <c r="D25" s="3178"/>
      <c r="E25" s="3178"/>
      <c r="F25" s="3178"/>
      <c r="G25" s="3178"/>
      <c r="H25" s="3178"/>
      <c r="I25" s="3178"/>
      <c r="J25" s="3178"/>
      <c r="K25" s="3178"/>
      <c r="L25" s="3178"/>
      <c r="M25" s="3178"/>
    </row>
    <row r="26" spans="1:13" ht="28.5" customHeight="1">
      <c r="A26" s="912" t="s">
        <v>1522</v>
      </c>
      <c r="B26" s="3181" t="s">
        <v>3764</v>
      </c>
      <c r="C26" s="3181"/>
      <c r="D26" s="3181"/>
      <c r="E26" s="3181"/>
      <c r="F26" s="3181"/>
      <c r="G26" s="3181"/>
      <c r="H26" s="3181"/>
      <c r="I26" s="3181"/>
      <c r="J26" s="3181"/>
      <c r="K26" s="3181"/>
      <c r="L26" s="3181"/>
      <c r="M26" s="3181"/>
    </row>
    <row r="27" spans="1:13" ht="28.5" customHeight="1">
      <c r="A27" s="912" t="s">
        <v>1522</v>
      </c>
      <c r="B27" s="3181" t="s">
        <v>3765</v>
      </c>
      <c r="C27" s="3181"/>
      <c r="D27" s="3181"/>
      <c r="E27" s="3181"/>
      <c r="F27" s="3181"/>
      <c r="G27" s="3181"/>
      <c r="H27" s="3181"/>
      <c r="I27" s="3181"/>
      <c r="J27" s="3181"/>
      <c r="K27" s="3181"/>
      <c r="L27" s="3181"/>
      <c r="M27" s="3181"/>
    </row>
    <row r="28" spans="1:13" ht="71.25" customHeight="1">
      <c r="A28" s="912" t="s">
        <v>1522</v>
      </c>
      <c r="B28" s="3181" t="s">
        <v>2867</v>
      </c>
      <c r="C28" s="3181"/>
      <c r="D28" s="3181"/>
      <c r="E28" s="3181"/>
      <c r="F28" s="3181"/>
      <c r="G28" s="3181"/>
      <c r="H28" s="3181"/>
      <c r="I28" s="3181"/>
      <c r="J28" s="3181"/>
      <c r="K28" s="3181"/>
      <c r="L28" s="3181"/>
      <c r="M28" s="3181"/>
    </row>
    <row r="29" spans="1:13" ht="3" customHeight="1">
      <c r="A29" s="3178"/>
      <c r="B29" s="3178"/>
      <c r="C29" s="3178"/>
      <c r="D29" s="3178"/>
      <c r="E29" s="3178"/>
      <c r="F29" s="3178"/>
      <c r="G29" s="3178"/>
      <c r="H29" s="3178"/>
      <c r="I29" s="3178"/>
      <c r="J29" s="3178"/>
      <c r="K29" s="3178"/>
      <c r="L29" s="3178"/>
      <c r="M29" s="3178"/>
    </row>
    <row r="30" spans="1:13" ht="43.5" customHeight="1">
      <c r="A30" s="3181" t="s">
        <v>979</v>
      </c>
      <c r="B30" s="3181"/>
      <c r="C30" s="3181"/>
      <c r="D30" s="3181"/>
      <c r="E30" s="3181"/>
      <c r="F30" s="3181"/>
      <c r="G30" s="3181"/>
      <c r="H30" s="3181"/>
      <c r="I30" s="3181"/>
      <c r="J30" s="3181"/>
      <c r="K30" s="3181"/>
      <c r="L30" s="3181"/>
      <c r="M30" s="3181"/>
    </row>
    <row r="31" spans="1:13" ht="3" customHeight="1">
      <c r="A31" s="3178"/>
      <c r="B31" s="3178"/>
      <c r="C31" s="3178"/>
      <c r="D31" s="3178"/>
      <c r="E31" s="3178"/>
      <c r="F31" s="3178"/>
      <c r="G31" s="3178"/>
      <c r="H31" s="3178"/>
      <c r="I31" s="3178"/>
      <c r="J31" s="3178"/>
      <c r="K31" s="3178"/>
      <c r="L31" s="3178"/>
      <c r="M31" s="3178"/>
    </row>
    <row r="32" spans="1:13" ht="28.5" customHeight="1">
      <c r="A32" s="3181" t="s">
        <v>2868</v>
      </c>
      <c r="B32" s="3181"/>
      <c r="C32" s="3181"/>
      <c r="D32" s="3181"/>
      <c r="E32" s="3181"/>
      <c r="F32" s="3181"/>
      <c r="G32" s="3181"/>
      <c r="H32" s="3181"/>
      <c r="I32" s="3181"/>
      <c r="J32" s="3181"/>
      <c r="K32" s="3181"/>
      <c r="L32" s="3181"/>
      <c r="M32" s="3181"/>
    </row>
    <row r="33" spans="1:13" ht="4.5" customHeight="1">
      <c r="A33" s="3178"/>
      <c r="B33" s="3178"/>
      <c r="C33" s="3178"/>
      <c r="D33" s="3178"/>
      <c r="E33" s="3178"/>
      <c r="F33" s="3178"/>
      <c r="G33" s="3178"/>
      <c r="H33" s="3178"/>
      <c r="I33" s="3178"/>
      <c r="J33" s="3178"/>
      <c r="K33" s="3178"/>
      <c r="L33" s="3178"/>
      <c r="M33" s="3178"/>
    </row>
    <row r="34" spans="1:13">
      <c r="A34" s="3178" t="s">
        <v>955</v>
      </c>
      <c r="B34" s="3178"/>
      <c r="C34" s="3178"/>
      <c r="D34" s="3178"/>
      <c r="E34" s="3178"/>
      <c r="F34" s="3178"/>
      <c r="G34" s="3178"/>
      <c r="H34" s="3178"/>
      <c r="I34" s="3178"/>
      <c r="J34" s="3178"/>
      <c r="K34" s="3178"/>
      <c r="L34" s="3178"/>
      <c r="M34" s="3178"/>
    </row>
    <row r="35" spans="1:13" ht="6" customHeight="1">
      <c r="A35" s="3183"/>
      <c r="B35" s="3183"/>
      <c r="C35" s="3183"/>
      <c r="D35" s="3183"/>
      <c r="E35" s="3183"/>
      <c r="F35" s="3183"/>
      <c r="G35" s="3183"/>
      <c r="H35" s="3183"/>
      <c r="I35" s="3183"/>
      <c r="J35" s="3183"/>
      <c r="K35" s="3183"/>
      <c r="L35" s="3183"/>
      <c r="M35" s="3183"/>
    </row>
    <row r="36" spans="1:13">
      <c r="A36" s="3184"/>
      <c r="B36" s="3184"/>
      <c r="C36" s="3184"/>
      <c r="D36" s="3184"/>
      <c r="E36" s="3184"/>
      <c r="F36" s="3184"/>
      <c r="G36" s="3185"/>
      <c r="H36" s="3184"/>
      <c r="I36" s="3184"/>
      <c r="J36" s="3184"/>
      <c r="K36" s="3184"/>
      <c r="L36" s="3184"/>
      <c r="M36" s="3184"/>
    </row>
    <row r="37" spans="1:13" ht="12" customHeight="1">
      <c r="A37" s="3186" t="s">
        <v>956</v>
      </c>
      <c r="B37" s="3186"/>
      <c r="C37" s="3186"/>
      <c r="D37" s="3186"/>
      <c r="E37" s="3186"/>
      <c r="F37" s="3186"/>
      <c r="G37" s="3185"/>
      <c r="H37" s="3186" t="s">
        <v>2055</v>
      </c>
      <c r="I37" s="3186"/>
      <c r="J37" s="3186"/>
      <c r="K37" s="3186"/>
      <c r="L37" s="3186"/>
      <c r="M37" s="3186"/>
    </row>
    <row r="38" spans="1:13" ht="6" customHeight="1">
      <c r="A38" s="3185"/>
      <c r="B38" s="3185"/>
      <c r="C38" s="3185"/>
      <c r="D38" s="3185"/>
      <c r="E38" s="3185"/>
      <c r="F38" s="3185"/>
      <c r="G38" s="3185"/>
      <c r="H38" s="3185"/>
      <c r="I38" s="3185"/>
      <c r="J38" s="3185"/>
      <c r="K38" s="3185"/>
      <c r="L38" s="3185"/>
      <c r="M38" s="3185"/>
    </row>
    <row r="39" spans="1:13">
      <c r="A39" s="3184"/>
      <c r="B39" s="3184"/>
      <c r="C39" s="3184"/>
      <c r="D39" s="3184"/>
      <c r="E39" s="3184"/>
      <c r="F39" s="3184"/>
      <c r="G39" s="3185"/>
      <c r="H39" s="3187"/>
      <c r="I39" s="3187"/>
      <c r="J39" s="3187"/>
      <c r="K39" s="3187"/>
      <c r="L39" s="3187"/>
      <c r="M39" s="3187"/>
    </row>
    <row r="40" spans="1:13" ht="12" customHeight="1">
      <c r="A40" s="3186" t="s">
        <v>957</v>
      </c>
      <c r="B40" s="3186"/>
      <c r="C40" s="3186"/>
      <c r="D40" s="3186"/>
      <c r="E40" s="3186"/>
      <c r="F40" s="3186"/>
      <c r="G40" s="3185"/>
      <c r="H40" s="3186" t="s">
        <v>958</v>
      </c>
      <c r="I40" s="3186"/>
      <c r="J40" s="3186"/>
      <c r="K40" s="3186"/>
      <c r="L40" s="3186"/>
      <c r="M40" s="3186"/>
    </row>
    <row r="41" spans="1:13" ht="3" customHeight="1">
      <c r="A41" s="3188"/>
      <c r="B41" s="3188"/>
      <c r="C41" s="3188"/>
      <c r="D41" s="3188"/>
      <c r="E41" s="3188"/>
      <c r="F41" s="3188"/>
      <c r="G41" s="3185"/>
      <c r="H41" s="3188"/>
      <c r="I41" s="3188"/>
      <c r="J41" s="3188"/>
      <c r="K41" s="3188"/>
      <c r="L41" s="3188"/>
      <c r="M41" s="3188"/>
    </row>
    <row r="42" spans="1:13" ht="11.45" customHeight="1">
      <c r="A42" s="3175"/>
      <c r="B42" s="3175"/>
      <c r="C42" s="3175"/>
      <c r="D42" s="3175"/>
      <c r="E42" s="3175"/>
      <c r="F42" s="3175"/>
      <c r="G42" s="3175"/>
      <c r="H42" s="3189" t="s">
        <v>959</v>
      </c>
      <c r="I42" s="3189"/>
      <c r="J42" s="3189"/>
      <c r="K42" s="3189"/>
      <c r="L42" s="3189"/>
      <c r="M42" s="3189"/>
    </row>
    <row r="43" spans="1:13" ht="11.45" customHeight="1">
      <c r="A43" s="3175"/>
      <c r="B43" s="3175"/>
      <c r="C43" s="3175"/>
      <c r="D43" s="3175"/>
      <c r="E43" s="3175"/>
      <c r="F43" s="3175"/>
      <c r="G43" s="3175"/>
    </row>
    <row r="44" spans="1:13" ht="11.45" customHeight="1">
      <c r="A44" s="3175"/>
      <c r="B44" s="3175"/>
      <c r="C44" s="3175"/>
      <c r="D44" s="3175"/>
      <c r="E44" s="3175"/>
      <c r="F44" s="3175"/>
      <c r="G44" s="3175"/>
      <c r="H44" s="3175"/>
      <c r="I44" s="3175"/>
      <c r="J44" s="3175"/>
      <c r="K44" s="3175"/>
      <c r="L44" s="3175"/>
      <c r="M44" s="3175"/>
    </row>
    <row r="45" spans="1:13" ht="11.45" customHeight="1">
      <c r="A45" s="3175"/>
      <c r="B45" s="3175"/>
      <c r="C45" s="3175"/>
      <c r="D45" s="3175"/>
      <c r="E45" s="3175"/>
      <c r="F45" s="3175"/>
      <c r="G45" s="3175"/>
      <c r="H45" s="3175"/>
      <c r="I45" s="3175"/>
      <c r="J45" s="3175"/>
      <c r="K45" s="3175"/>
      <c r="L45" s="3175"/>
      <c r="M45" s="3175"/>
    </row>
    <row r="46" spans="1:13" ht="11.45" customHeight="1"/>
    <row r="47" spans="1:13" ht="11.45" customHeight="1"/>
    <row r="48" spans="1:13" ht="11.45" customHeight="1"/>
    <row r="49" ht="11.45" customHeight="1"/>
    <row r="50" ht="11.45" customHeight="1"/>
  </sheetData>
  <sheetProtection algorithmName="SHA-512" hashValue="0hpbj+5kU0PqlSGxVR9szt7fda9hKVvnuJUqAFsmCxhxGB8IZXgwmIadJSmfqxCE7gm3VPNBpcBiQ3zN2aLGrg==" saltValue="tC2KCQTlmVk1qBQmSiuwW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3"/>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1"/>
      <c r="AB1" s="1331"/>
    </row>
    <row r="2" spans="1:28" s="299" customFormat="1" ht="13.15" customHeight="1">
      <c r="A2" s="2459" t="s">
        <v>751</v>
      </c>
      <c r="B2" s="2460"/>
      <c r="C2" s="2460"/>
      <c r="D2" s="2460"/>
      <c r="E2" s="2460"/>
      <c r="F2" s="2460"/>
      <c r="G2" s="2460"/>
      <c r="H2" s="2460"/>
      <c r="I2" s="2460"/>
      <c r="J2" s="2460"/>
      <c r="K2" s="2460"/>
      <c r="L2" s="2460"/>
      <c r="M2" s="2460"/>
      <c r="N2" s="2460"/>
      <c r="O2" s="2460"/>
      <c r="P2" s="2460"/>
      <c r="Q2" s="2460"/>
      <c r="R2" s="2461"/>
      <c r="S2" s="183"/>
      <c r="T2" s="183"/>
      <c r="U2" s="183"/>
      <c r="AA2" s="593"/>
      <c r="AB2" s="593"/>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3"/>
      <c r="AB3" s="593"/>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93"/>
      <c r="AB4" s="593"/>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3"/>
      <c r="AB5" s="593"/>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3"/>
      <c r="AB6" s="593"/>
    </row>
    <row r="7" spans="1:28" s="299" customFormat="1" ht="11.45" customHeight="1">
      <c r="A7" s="304"/>
      <c r="B7" s="185"/>
      <c r="C7" s="185"/>
      <c r="D7" s="183"/>
      <c r="E7" s="183"/>
      <c r="F7" s="185"/>
      <c r="G7" s="185"/>
      <c r="H7" s="183"/>
      <c r="I7" s="183"/>
      <c r="J7" s="185" t="s">
        <v>1798</v>
      </c>
      <c r="L7" s="185" t="s">
        <v>2986</v>
      </c>
      <c r="M7" s="185"/>
      <c r="N7" s="185"/>
      <c r="O7" s="185"/>
      <c r="P7" s="183"/>
      <c r="Q7" s="305" t="s">
        <v>1799</v>
      </c>
      <c r="R7" s="305">
        <v>1200000</v>
      </c>
      <c r="S7" s="183"/>
      <c r="T7" s="183"/>
      <c r="U7" s="183"/>
      <c r="V7" s="306"/>
      <c r="W7" s="306"/>
      <c r="X7" s="186"/>
      <c r="AA7" s="593"/>
      <c r="AB7" s="593"/>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3"/>
      <c r="AB8" s="593"/>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3"/>
      <c r="AB9" s="593"/>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3"/>
      <c r="AB10" s="593"/>
    </row>
    <row r="11" spans="1:28" s="299" customFormat="1" ht="11.45" customHeight="1">
      <c r="A11" s="185"/>
      <c r="B11" s="185"/>
      <c r="C11" s="185"/>
      <c r="D11" s="183"/>
      <c r="E11" s="183"/>
      <c r="F11" s="185" t="s">
        <v>4041</v>
      </c>
      <c r="G11" s="185"/>
      <c r="H11" s="183"/>
      <c r="I11" s="183"/>
      <c r="J11" s="747" t="s">
        <v>4042</v>
      </c>
      <c r="K11" s="312"/>
      <c r="M11" s="312"/>
      <c r="N11" s="312"/>
      <c r="O11" s="185"/>
      <c r="Q11" s="310"/>
      <c r="R11" s="310"/>
      <c r="S11" s="325"/>
      <c r="T11" s="183"/>
      <c r="U11" s="183"/>
      <c r="V11" s="308"/>
      <c r="W11" s="308"/>
      <c r="X11" s="308"/>
      <c r="AA11" s="593"/>
      <c r="AB11" s="593"/>
    </row>
    <row r="12" spans="1:28" s="299" customFormat="1" ht="11.45" customHeight="1">
      <c r="A12" s="185"/>
      <c r="B12" s="185"/>
      <c r="C12" s="185"/>
      <c r="D12" s="183"/>
      <c r="E12" s="183"/>
      <c r="F12" s="185"/>
      <c r="G12" s="185"/>
      <c r="H12" s="183"/>
      <c r="I12" s="183"/>
      <c r="J12" s="747"/>
      <c r="K12" s="312"/>
      <c r="M12" s="312"/>
      <c r="N12" s="312"/>
      <c r="O12" s="185"/>
      <c r="Q12" s="310"/>
      <c r="R12" s="310"/>
      <c r="S12" s="325"/>
      <c r="T12" s="183"/>
      <c r="U12" s="183"/>
      <c r="V12" s="308"/>
      <c r="W12" s="308"/>
      <c r="X12" s="308"/>
      <c r="AA12" s="593"/>
      <c r="AB12" s="593"/>
    </row>
    <row r="13" spans="1:28" s="299" customFormat="1" ht="11.45" customHeight="1">
      <c r="A13" s="185"/>
      <c r="B13" s="185"/>
      <c r="C13" s="185"/>
      <c r="D13" s="183"/>
      <c r="E13" s="183"/>
      <c r="F13" s="2456" t="s">
        <v>3547</v>
      </c>
      <c r="G13" s="2457"/>
      <c r="H13" s="2457"/>
      <c r="I13" s="2457"/>
      <c r="J13" s="2458"/>
      <c r="K13" s="312"/>
      <c r="L13" s="749" t="s">
        <v>3884</v>
      </c>
      <c r="M13" s="312"/>
      <c r="N13" s="2456" t="s">
        <v>3547</v>
      </c>
      <c r="O13" s="2457"/>
      <c r="P13" s="2457"/>
      <c r="Q13" s="2457"/>
      <c r="R13" s="2458"/>
      <c r="S13" s="325"/>
      <c r="T13" s="183"/>
      <c r="U13" s="183"/>
      <c r="V13" s="308"/>
      <c r="W13" s="308"/>
      <c r="X13" s="308"/>
      <c r="AA13" s="593"/>
      <c r="AB13" s="593"/>
    </row>
    <row r="14" spans="1:28" s="299" customFormat="1" ht="11.45" customHeight="1">
      <c r="A14" s="185"/>
      <c r="D14" s="750" t="s">
        <v>2701</v>
      </c>
      <c r="E14" s="750" t="s">
        <v>1345</v>
      </c>
      <c r="F14" s="751">
        <v>0</v>
      </c>
      <c r="G14" s="752">
        <v>1</v>
      </c>
      <c r="H14" s="753">
        <v>2</v>
      </c>
      <c r="I14" s="753">
        <v>3</v>
      </c>
      <c r="J14" s="754" t="s">
        <v>3544</v>
      </c>
      <c r="L14" s="750" t="s">
        <v>2701</v>
      </c>
      <c r="M14" s="750" t="s">
        <v>1345</v>
      </c>
      <c r="N14" s="751">
        <v>0</v>
      </c>
      <c r="O14" s="752">
        <v>1</v>
      </c>
      <c r="P14" s="753">
        <v>2</v>
      </c>
      <c r="Q14" s="753">
        <v>3</v>
      </c>
      <c r="R14" s="754" t="s">
        <v>3544</v>
      </c>
      <c r="S14" s="325"/>
      <c r="T14" s="183"/>
      <c r="U14" s="183"/>
      <c r="V14" s="308"/>
      <c r="W14" s="308"/>
      <c r="X14" s="308"/>
      <c r="AA14" s="593"/>
      <c r="AB14" s="593"/>
    </row>
    <row r="15" spans="1:28" s="299" customFormat="1" ht="11.45" customHeight="1">
      <c r="A15" s="185"/>
      <c r="C15" s="348"/>
      <c r="D15" s="325" t="s">
        <v>1848</v>
      </c>
      <c r="E15" s="325" t="s">
        <v>3546</v>
      </c>
      <c r="F15" s="748">
        <v>118024</v>
      </c>
      <c r="G15" s="748">
        <v>155590</v>
      </c>
      <c r="H15" s="748">
        <v>186567</v>
      </c>
      <c r="I15" s="748">
        <v>224896</v>
      </c>
      <c r="J15" s="748">
        <v>265234</v>
      </c>
      <c r="L15" s="325" t="s">
        <v>1848</v>
      </c>
      <c r="M15" s="325" t="s">
        <v>3546</v>
      </c>
      <c r="N15" s="746">
        <f t="shared" ref="N15:R22" si="0">ROUNDDOWN(F15*1.1,0)</f>
        <v>129826</v>
      </c>
      <c r="O15" s="746">
        <f t="shared" si="0"/>
        <v>171149</v>
      </c>
      <c r="P15" s="746">
        <f t="shared" si="0"/>
        <v>205223</v>
      </c>
      <c r="Q15" s="746">
        <f t="shared" si="0"/>
        <v>247385</v>
      </c>
      <c r="R15" s="746">
        <f t="shared" si="0"/>
        <v>291757</v>
      </c>
      <c r="S15" s="325"/>
      <c r="T15" s="183"/>
      <c r="U15" s="183"/>
      <c r="V15" s="308"/>
      <c r="W15" s="308"/>
      <c r="X15" s="308"/>
      <c r="AA15" s="593"/>
      <c r="AB15" s="593"/>
    </row>
    <row r="16" spans="1:28" s="299" customFormat="1" ht="11.45" customHeight="1">
      <c r="A16" s="185"/>
      <c r="C16" s="348"/>
      <c r="D16" s="325" t="s">
        <v>1848</v>
      </c>
      <c r="E16" s="325" t="s">
        <v>3543</v>
      </c>
      <c r="F16" s="748">
        <v>97116</v>
      </c>
      <c r="G16" s="748">
        <v>135962</v>
      </c>
      <c r="H16" s="748">
        <v>174808</v>
      </c>
      <c r="I16" s="748">
        <v>233078</v>
      </c>
      <c r="J16" s="748">
        <v>291347</v>
      </c>
      <c r="L16" s="325" t="s">
        <v>1848</v>
      </c>
      <c r="M16" s="325" t="s">
        <v>3543</v>
      </c>
      <c r="N16" s="746">
        <f t="shared" si="0"/>
        <v>106827</v>
      </c>
      <c r="O16" s="746">
        <f t="shared" si="0"/>
        <v>149558</v>
      </c>
      <c r="P16" s="746">
        <f t="shared" si="0"/>
        <v>192288</v>
      </c>
      <c r="Q16" s="746">
        <f t="shared" si="0"/>
        <v>256385</v>
      </c>
      <c r="R16" s="746">
        <f t="shared" si="0"/>
        <v>320481</v>
      </c>
      <c r="S16" s="325"/>
      <c r="T16" s="183"/>
      <c r="U16" s="183"/>
      <c r="V16" s="308"/>
      <c r="W16" s="308"/>
      <c r="X16" s="308"/>
      <c r="AA16" s="593"/>
      <c r="AB16" s="593"/>
    </row>
    <row r="17" spans="1:28" s="299" customFormat="1" ht="11.45" customHeight="1">
      <c r="A17" s="185"/>
      <c r="C17" s="348"/>
      <c r="D17" s="325" t="s">
        <v>1848</v>
      </c>
      <c r="E17" s="325" t="s">
        <v>3541</v>
      </c>
      <c r="F17" s="748">
        <v>112014</v>
      </c>
      <c r="G17" s="748">
        <v>148067</v>
      </c>
      <c r="H17" s="748">
        <v>178048</v>
      </c>
      <c r="I17" s="748">
        <v>215837</v>
      </c>
      <c r="J17" s="748">
        <v>257008</v>
      </c>
      <c r="L17" s="325" t="s">
        <v>1848</v>
      </c>
      <c r="M17" s="325" t="s">
        <v>3541</v>
      </c>
      <c r="N17" s="746">
        <f t="shared" si="0"/>
        <v>123215</v>
      </c>
      <c r="O17" s="746">
        <f t="shared" si="0"/>
        <v>162873</v>
      </c>
      <c r="P17" s="746">
        <f t="shared" si="0"/>
        <v>195852</v>
      </c>
      <c r="Q17" s="746">
        <f t="shared" si="0"/>
        <v>237420</v>
      </c>
      <c r="R17" s="746">
        <f t="shared" si="0"/>
        <v>282708</v>
      </c>
      <c r="S17" s="325"/>
      <c r="T17" s="183"/>
      <c r="U17" s="183"/>
      <c r="V17" s="308"/>
      <c r="W17" s="308"/>
      <c r="X17" s="308"/>
      <c r="AA17" s="593"/>
      <c r="AB17" s="593"/>
    </row>
    <row r="18" spans="1:28" s="299" customFormat="1" ht="11.45" customHeight="1">
      <c r="A18" s="185"/>
      <c r="C18" s="348"/>
      <c r="D18" s="325" t="s">
        <v>1848</v>
      </c>
      <c r="E18" s="325" t="s">
        <v>3542</v>
      </c>
      <c r="F18" s="748">
        <v>91285</v>
      </c>
      <c r="G18" s="748">
        <v>126011</v>
      </c>
      <c r="H18" s="748">
        <v>159708</v>
      </c>
      <c r="I18" s="748">
        <v>208340</v>
      </c>
      <c r="J18" s="748">
        <v>259672</v>
      </c>
      <c r="L18" s="325" t="s">
        <v>1848</v>
      </c>
      <c r="M18" s="325" t="s">
        <v>3542</v>
      </c>
      <c r="N18" s="746">
        <f t="shared" si="0"/>
        <v>100413</v>
      </c>
      <c r="O18" s="746">
        <f t="shared" si="0"/>
        <v>138612</v>
      </c>
      <c r="P18" s="746">
        <f t="shared" si="0"/>
        <v>175678</v>
      </c>
      <c r="Q18" s="746">
        <f t="shared" si="0"/>
        <v>229174</v>
      </c>
      <c r="R18" s="746">
        <f t="shared" si="0"/>
        <v>285639</v>
      </c>
      <c r="S18" s="325"/>
      <c r="T18" s="183"/>
      <c r="U18" s="183"/>
      <c r="V18" s="308"/>
      <c r="W18" s="308"/>
      <c r="X18" s="308"/>
      <c r="AA18" s="593"/>
      <c r="AB18" s="593"/>
    </row>
    <row r="19" spans="1:28" s="299" customFormat="1" ht="11.45" customHeight="1">
      <c r="A19" s="185"/>
      <c r="C19" s="348"/>
      <c r="D19" s="325" t="s">
        <v>1251</v>
      </c>
      <c r="E19" s="325" t="s">
        <v>3546</v>
      </c>
      <c r="F19" s="748">
        <v>135361</v>
      </c>
      <c r="G19" s="748">
        <v>178380</v>
      </c>
      <c r="H19" s="748">
        <v>213793</v>
      </c>
      <c r="I19" s="748">
        <v>257538</v>
      </c>
      <c r="J19" s="748">
        <v>303696</v>
      </c>
      <c r="L19" s="747" t="s">
        <v>1251</v>
      </c>
      <c r="M19" s="747" t="s">
        <v>3546</v>
      </c>
      <c r="N19" s="746">
        <f t="shared" si="0"/>
        <v>148897</v>
      </c>
      <c r="O19" s="746">
        <f t="shared" si="0"/>
        <v>196218</v>
      </c>
      <c r="P19" s="746">
        <f t="shared" si="0"/>
        <v>235172</v>
      </c>
      <c r="Q19" s="746">
        <f t="shared" si="0"/>
        <v>283291</v>
      </c>
      <c r="R19" s="746">
        <f t="shared" si="0"/>
        <v>334065</v>
      </c>
      <c r="S19" s="325"/>
      <c r="T19" s="183"/>
      <c r="U19" s="183"/>
      <c r="V19" s="308"/>
      <c r="W19" s="308"/>
      <c r="X19" s="308"/>
      <c r="AA19" s="593"/>
      <c r="AB19" s="593"/>
    </row>
    <row r="20" spans="1:28" s="299" customFormat="1" ht="11.45" customHeight="1">
      <c r="A20" s="185"/>
      <c r="C20" s="348"/>
      <c r="D20" s="325" t="s">
        <v>1251</v>
      </c>
      <c r="E20" s="325" t="s">
        <v>3543</v>
      </c>
      <c r="F20" s="748">
        <v>111281</v>
      </c>
      <c r="G20" s="748">
        <v>155793</v>
      </c>
      <c r="H20" s="748">
        <v>200306</v>
      </c>
      <c r="I20" s="748">
        <v>267074</v>
      </c>
      <c r="J20" s="748">
        <v>333843</v>
      </c>
      <c r="L20" s="747" t="s">
        <v>1251</v>
      </c>
      <c r="M20" s="747" t="s">
        <v>3543</v>
      </c>
      <c r="N20" s="746">
        <f t="shared" si="0"/>
        <v>122409</v>
      </c>
      <c r="O20" s="746">
        <f t="shared" si="0"/>
        <v>171372</v>
      </c>
      <c r="P20" s="746">
        <f t="shared" si="0"/>
        <v>220336</v>
      </c>
      <c r="Q20" s="746">
        <f t="shared" si="0"/>
        <v>293781</v>
      </c>
      <c r="R20" s="746">
        <f t="shared" si="0"/>
        <v>367227</v>
      </c>
      <c r="S20" s="325"/>
      <c r="T20" s="183"/>
      <c r="U20" s="183"/>
      <c r="V20" s="308"/>
      <c r="W20" s="308"/>
      <c r="X20" s="308"/>
      <c r="AA20" s="593"/>
      <c r="AB20" s="593"/>
    </row>
    <row r="21" spans="1:28" s="299" customFormat="1" ht="11.45" customHeight="1">
      <c r="A21" s="185"/>
      <c r="C21" s="348"/>
      <c r="D21" s="325" t="s">
        <v>1251</v>
      </c>
      <c r="E21" s="325" t="s">
        <v>3541</v>
      </c>
      <c r="F21" s="748">
        <v>128554</v>
      </c>
      <c r="G21" s="748">
        <v>169860</v>
      </c>
      <c r="H21" s="748">
        <v>204145</v>
      </c>
      <c r="I21" s="748">
        <v>247279</v>
      </c>
      <c r="J21" s="748">
        <v>294379</v>
      </c>
      <c r="L21" s="747" t="s">
        <v>1251</v>
      </c>
      <c r="M21" s="747" t="s">
        <v>3541</v>
      </c>
      <c r="N21" s="746">
        <f t="shared" si="0"/>
        <v>141409</v>
      </c>
      <c r="O21" s="746">
        <f t="shared" si="0"/>
        <v>186846</v>
      </c>
      <c r="P21" s="746">
        <f t="shared" si="0"/>
        <v>224559</v>
      </c>
      <c r="Q21" s="746">
        <f t="shared" si="0"/>
        <v>272006</v>
      </c>
      <c r="R21" s="746">
        <f t="shared" si="0"/>
        <v>323816</v>
      </c>
      <c r="S21" s="325"/>
      <c r="T21" s="183"/>
      <c r="U21" s="183"/>
      <c r="V21" s="308"/>
      <c r="W21" s="308"/>
      <c r="X21" s="308"/>
      <c r="AA21" s="593"/>
      <c r="AB21" s="593"/>
    </row>
    <row r="22" spans="1:28" s="299" customFormat="1" ht="11.45" customHeight="1">
      <c r="A22" s="185"/>
      <c r="C22" s="348"/>
      <c r="D22" s="325" t="s">
        <v>1251</v>
      </c>
      <c r="E22" s="325" t="s">
        <v>3542</v>
      </c>
      <c r="F22" s="748">
        <v>104901</v>
      </c>
      <c r="G22" s="748">
        <v>144835</v>
      </c>
      <c r="H22" s="748">
        <v>183605</v>
      </c>
      <c r="I22" s="748">
        <v>239593</v>
      </c>
      <c r="J22" s="748">
        <v>298638</v>
      </c>
      <c r="L22" s="747" t="s">
        <v>1251</v>
      </c>
      <c r="M22" s="747" t="s">
        <v>3542</v>
      </c>
      <c r="N22" s="746">
        <f t="shared" si="0"/>
        <v>115391</v>
      </c>
      <c r="O22" s="746">
        <f t="shared" si="0"/>
        <v>159318</v>
      </c>
      <c r="P22" s="746">
        <f t="shared" si="0"/>
        <v>201965</v>
      </c>
      <c r="Q22" s="746">
        <f t="shared" si="0"/>
        <v>263552</v>
      </c>
      <c r="R22" s="746">
        <f t="shared" si="0"/>
        <v>328501</v>
      </c>
      <c r="S22" s="325"/>
      <c r="T22" s="183"/>
      <c r="U22" s="183"/>
      <c r="V22" s="308"/>
      <c r="W22" s="308"/>
      <c r="X22" s="308"/>
      <c r="AA22" s="593"/>
      <c r="AB22" s="593"/>
    </row>
    <row r="23" spans="1:28" s="299" customFormat="1" ht="11.45" customHeight="1">
      <c r="A23" s="185"/>
      <c r="C23" s="348"/>
      <c r="D23" s="325" t="s">
        <v>1379</v>
      </c>
      <c r="E23" s="325" t="s">
        <v>3546</v>
      </c>
      <c r="F23" s="748">
        <v>122960</v>
      </c>
      <c r="G23" s="748">
        <v>161910</v>
      </c>
      <c r="H23" s="748">
        <v>193847</v>
      </c>
      <c r="I23" s="748">
        <v>233158</v>
      </c>
      <c r="J23" s="748">
        <v>274874</v>
      </c>
      <c r="L23" s="747" t="s">
        <v>1379</v>
      </c>
      <c r="M23" s="747" t="s">
        <v>3546</v>
      </c>
      <c r="N23" s="746">
        <f t="shared" ref="N23:N50" si="1">ROUNDDOWN(F23*1.1,0)</f>
        <v>135256</v>
      </c>
      <c r="O23" s="746">
        <f t="shared" ref="O23:O50" si="2">ROUNDDOWN(G23*1.1,0)</f>
        <v>178101</v>
      </c>
      <c r="P23" s="746">
        <f t="shared" ref="P23:P50" si="3">ROUNDDOWN(H23*1.1,0)</f>
        <v>213231</v>
      </c>
      <c r="Q23" s="746">
        <f t="shared" ref="Q23:Q50" si="4">ROUNDDOWN(I23*1.1,0)</f>
        <v>256473</v>
      </c>
      <c r="R23" s="746">
        <f t="shared" ref="R23:R50" si="5">ROUNDDOWN(J23*1.1,0)</f>
        <v>302361</v>
      </c>
      <c r="S23" s="325"/>
      <c r="T23" s="183"/>
      <c r="U23" s="183"/>
      <c r="V23" s="308"/>
      <c r="W23" s="308"/>
      <c r="X23" s="308"/>
      <c r="AA23" s="593"/>
      <c r="AB23" s="593"/>
    </row>
    <row r="24" spans="1:28" s="299" customFormat="1" ht="11.45" customHeight="1">
      <c r="A24" s="185"/>
      <c r="C24" s="348"/>
      <c r="D24" s="325" t="s">
        <v>1379</v>
      </c>
      <c r="E24" s="325" t="s">
        <v>3543</v>
      </c>
      <c r="F24" s="748">
        <v>100885</v>
      </c>
      <c r="G24" s="748">
        <v>141240</v>
      </c>
      <c r="H24" s="748">
        <v>181594</v>
      </c>
      <c r="I24" s="748">
        <v>242125</v>
      </c>
      <c r="J24" s="748">
        <v>302656</v>
      </c>
      <c r="L24" s="747" t="s">
        <v>1379</v>
      </c>
      <c r="M24" s="747" t="s">
        <v>3543</v>
      </c>
      <c r="N24" s="746">
        <f t="shared" si="1"/>
        <v>110973</v>
      </c>
      <c r="O24" s="746">
        <f t="shared" si="2"/>
        <v>155364</v>
      </c>
      <c r="P24" s="746">
        <f t="shared" si="3"/>
        <v>199753</v>
      </c>
      <c r="Q24" s="746">
        <f t="shared" si="4"/>
        <v>266337</v>
      </c>
      <c r="R24" s="746">
        <f t="shared" si="5"/>
        <v>332921</v>
      </c>
      <c r="S24" s="325"/>
      <c r="T24" s="183"/>
      <c r="U24" s="183"/>
      <c r="V24" s="308"/>
      <c r="W24" s="308"/>
      <c r="X24" s="308"/>
      <c r="AA24" s="593"/>
      <c r="AB24" s="593"/>
    </row>
    <row r="25" spans="1:28" s="299" customFormat="1" ht="11.45" customHeight="1">
      <c r="A25" s="185"/>
      <c r="C25" s="348"/>
      <c r="D25" s="325" t="s">
        <v>1379</v>
      </c>
      <c r="E25" s="325" t="s">
        <v>3541</v>
      </c>
      <c r="F25" s="748">
        <v>116950</v>
      </c>
      <c r="G25" s="748">
        <v>154387</v>
      </c>
      <c r="H25" s="748">
        <v>185328</v>
      </c>
      <c r="I25" s="748">
        <v>224100</v>
      </c>
      <c r="J25" s="748">
        <v>266647</v>
      </c>
      <c r="L25" s="747" t="s">
        <v>1379</v>
      </c>
      <c r="M25" s="747" t="s">
        <v>3541</v>
      </c>
      <c r="N25" s="746">
        <f t="shared" si="1"/>
        <v>128645</v>
      </c>
      <c r="O25" s="746">
        <f t="shared" si="2"/>
        <v>169825</v>
      </c>
      <c r="P25" s="746">
        <f t="shared" si="3"/>
        <v>203860</v>
      </c>
      <c r="Q25" s="746">
        <f t="shared" si="4"/>
        <v>246510</v>
      </c>
      <c r="R25" s="746">
        <f t="shared" si="5"/>
        <v>293311</v>
      </c>
      <c r="S25" s="325"/>
      <c r="T25" s="183"/>
      <c r="U25" s="183"/>
      <c r="V25" s="308"/>
      <c r="W25" s="308"/>
      <c r="X25" s="308"/>
      <c r="AA25" s="593"/>
      <c r="AB25" s="593"/>
    </row>
    <row r="26" spans="1:28" s="299" customFormat="1" ht="11.45" customHeight="1">
      <c r="A26" s="185"/>
      <c r="C26" s="348"/>
      <c r="D26" s="325" t="s">
        <v>1379</v>
      </c>
      <c r="E26" s="325" t="s">
        <v>3542</v>
      </c>
      <c r="F26" s="748">
        <v>95704</v>
      </c>
      <c r="G26" s="748">
        <v>132198</v>
      </c>
      <c r="H26" s="748">
        <v>167662</v>
      </c>
      <c r="I26" s="748">
        <v>218946</v>
      </c>
      <c r="J26" s="748">
        <v>272929</v>
      </c>
      <c r="L26" s="747" t="s">
        <v>1379</v>
      </c>
      <c r="M26" s="747" t="s">
        <v>3542</v>
      </c>
      <c r="N26" s="746">
        <f t="shared" si="1"/>
        <v>105274</v>
      </c>
      <c r="O26" s="746">
        <f t="shared" si="2"/>
        <v>145417</v>
      </c>
      <c r="P26" s="746">
        <f t="shared" si="3"/>
        <v>184428</v>
      </c>
      <c r="Q26" s="746">
        <f t="shared" si="4"/>
        <v>240840</v>
      </c>
      <c r="R26" s="746">
        <f t="shared" si="5"/>
        <v>300221</v>
      </c>
      <c r="S26" s="325"/>
      <c r="T26" s="183"/>
      <c r="U26" s="183"/>
      <c r="V26" s="308"/>
      <c r="W26" s="308"/>
      <c r="X26" s="308"/>
      <c r="AA26" s="593"/>
      <c r="AB26" s="593"/>
    </row>
    <row r="27" spans="1:28" s="299" customFormat="1" ht="11.45" customHeight="1">
      <c r="A27" s="185"/>
      <c r="C27" s="348"/>
      <c r="D27" s="325" t="s">
        <v>12</v>
      </c>
      <c r="E27" s="325" t="s">
        <v>3546</v>
      </c>
      <c r="F27" s="748">
        <v>123063</v>
      </c>
      <c r="G27" s="748">
        <v>162311</v>
      </c>
      <c r="H27" s="748">
        <v>194751</v>
      </c>
      <c r="I27" s="748">
        <v>234976</v>
      </c>
      <c r="J27" s="748">
        <v>277167</v>
      </c>
      <c r="L27" s="747" t="s">
        <v>12</v>
      </c>
      <c r="M27" s="747" t="s">
        <v>3546</v>
      </c>
      <c r="N27" s="746">
        <f t="shared" si="1"/>
        <v>135369</v>
      </c>
      <c r="O27" s="746">
        <f t="shared" si="2"/>
        <v>178542</v>
      </c>
      <c r="P27" s="746">
        <f t="shared" si="3"/>
        <v>214226</v>
      </c>
      <c r="Q27" s="746">
        <f t="shared" si="4"/>
        <v>258473</v>
      </c>
      <c r="R27" s="746">
        <f t="shared" si="5"/>
        <v>304883</v>
      </c>
      <c r="S27" s="325"/>
      <c r="T27" s="183"/>
      <c r="U27" s="183"/>
      <c r="V27" s="308"/>
      <c r="W27" s="308"/>
      <c r="X27" s="308"/>
      <c r="AA27" s="593"/>
      <c r="AB27" s="593"/>
    </row>
    <row r="28" spans="1:28" s="299" customFormat="1" ht="11.45" customHeight="1">
      <c r="A28" s="185"/>
      <c r="C28" s="348"/>
      <c r="D28" s="325" t="s">
        <v>12</v>
      </c>
      <c r="E28" s="325" t="s">
        <v>3543</v>
      </c>
      <c r="F28" s="748">
        <v>101384</v>
      </c>
      <c r="G28" s="748">
        <v>141938</v>
      </c>
      <c r="H28" s="748">
        <v>182491</v>
      </c>
      <c r="I28" s="748">
        <v>243321</v>
      </c>
      <c r="J28" s="748">
        <v>304152</v>
      </c>
      <c r="L28" s="747" t="s">
        <v>12</v>
      </c>
      <c r="M28" s="747" t="s">
        <v>3543</v>
      </c>
      <c r="N28" s="746">
        <f t="shared" si="1"/>
        <v>111522</v>
      </c>
      <c r="O28" s="746">
        <f t="shared" si="2"/>
        <v>156131</v>
      </c>
      <c r="P28" s="746">
        <f t="shared" si="3"/>
        <v>200740</v>
      </c>
      <c r="Q28" s="746">
        <f t="shared" si="4"/>
        <v>267653</v>
      </c>
      <c r="R28" s="746">
        <f t="shared" si="5"/>
        <v>334567</v>
      </c>
      <c r="S28" s="325"/>
      <c r="T28" s="183"/>
      <c r="U28" s="183"/>
      <c r="V28" s="308"/>
      <c r="W28" s="308"/>
      <c r="X28" s="308"/>
      <c r="AA28" s="593"/>
      <c r="AB28" s="593"/>
    </row>
    <row r="29" spans="1:28" s="299" customFormat="1" ht="11.45" customHeight="1">
      <c r="A29" s="185"/>
      <c r="C29" s="348"/>
      <c r="D29" s="325" t="s">
        <v>12</v>
      </c>
      <c r="E29" s="325" t="s">
        <v>3541</v>
      </c>
      <c r="F29" s="748">
        <v>116690</v>
      </c>
      <c r="G29" s="748">
        <v>154334</v>
      </c>
      <c r="H29" s="748">
        <v>185719</v>
      </c>
      <c r="I29" s="748">
        <v>225372</v>
      </c>
      <c r="J29" s="748">
        <v>268445</v>
      </c>
      <c r="L29" s="747" t="s">
        <v>12</v>
      </c>
      <c r="M29" s="747" t="s">
        <v>3541</v>
      </c>
      <c r="N29" s="746">
        <f t="shared" si="1"/>
        <v>128359</v>
      </c>
      <c r="O29" s="746">
        <f t="shared" si="2"/>
        <v>169767</v>
      </c>
      <c r="P29" s="746">
        <f t="shared" si="3"/>
        <v>204290</v>
      </c>
      <c r="Q29" s="746">
        <f t="shared" si="4"/>
        <v>247909</v>
      </c>
      <c r="R29" s="746">
        <f t="shared" si="5"/>
        <v>295289</v>
      </c>
      <c r="S29" s="325"/>
      <c r="T29" s="183"/>
      <c r="U29" s="183"/>
      <c r="V29" s="308"/>
      <c r="W29" s="308"/>
      <c r="X29" s="308"/>
      <c r="AA29" s="593"/>
      <c r="AB29" s="593"/>
    </row>
    <row r="30" spans="1:28" s="299" customFormat="1" ht="11.45" customHeight="1">
      <c r="A30" s="185"/>
      <c r="C30" s="348"/>
      <c r="D30" s="325" t="s">
        <v>12</v>
      </c>
      <c r="E30" s="325" t="s">
        <v>3542</v>
      </c>
      <c r="F30" s="748">
        <v>94930</v>
      </c>
      <c r="G30" s="748">
        <v>131005</v>
      </c>
      <c r="H30" s="748">
        <v>165990</v>
      </c>
      <c r="I30" s="748">
        <v>216440</v>
      </c>
      <c r="J30" s="748">
        <v>269751</v>
      </c>
      <c r="L30" s="747" t="s">
        <v>12</v>
      </c>
      <c r="M30" s="747" t="s">
        <v>3542</v>
      </c>
      <c r="N30" s="746">
        <f t="shared" si="1"/>
        <v>104423</v>
      </c>
      <c r="O30" s="746">
        <f t="shared" si="2"/>
        <v>144105</v>
      </c>
      <c r="P30" s="746">
        <f t="shared" si="3"/>
        <v>182589</v>
      </c>
      <c r="Q30" s="746">
        <f t="shared" si="4"/>
        <v>238084</v>
      </c>
      <c r="R30" s="746">
        <f t="shared" si="5"/>
        <v>296726</v>
      </c>
      <c r="S30" s="325"/>
      <c r="T30" s="183"/>
      <c r="U30" s="183"/>
      <c r="V30" s="308"/>
      <c r="W30" s="308"/>
      <c r="X30" s="308"/>
      <c r="AA30" s="593"/>
      <c r="AB30" s="593"/>
    </row>
    <row r="31" spans="1:28" s="299" customFormat="1" ht="11.45" customHeight="1">
      <c r="A31" s="185"/>
      <c r="C31" s="348"/>
      <c r="D31" s="325" t="s">
        <v>166</v>
      </c>
      <c r="E31" s="325" t="s">
        <v>3546</v>
      </c>
      <c r="F31" s="748">
        <v>120492</v>
      </c>
      <c r="G31" s="748">
        <v>158750</v>
      </c>
      <c r="H31" s="748">
        <v>190207</v>
      </c>
      <c r="I31" s="748">
        <v>229027</v>
      </c>
      <c r="J31" s="748">
        <v>270054</v>
      </c>
      <c r="L31" s="325" t="s">
        <v>166</v>
      </c>
      <c r="M31" s="325" t="s">
        <v>3546</v>
      </c>
      <c r="N31" s="746">
        <f t="shared" ref="N31:R34" si="6">ROUNDDOWN(F31*1.1,0)</f>
        <v>132541</v>
      </c>
      <c r="O31" s="746">
        <f t="shared" si="6"/>
        <v>174625</v>
      </c>
      <c r="P31" s="746">
        <f t="shared" si="6"/>
        <v>209227</v>
      </c>
      <c r="Q31" s="746">
        <f t="shared" si="6"/>
        <v>251929</v>
      </c>
      <c r="R31" s="746">
        <f t="shared" si="6"/>
        <v>297059</v>
      </c>
      <c r="S31" s="325"/>
      <c r="T31" s="183"/>
      <c r="U31" s="183"/>
      <c r="V31" s="308"/>
      <c r="W31" s="308"/>
      <c r="X31" s="308"/>
      <c r="AA31" s="593"/>
      <c r="AB31" s="593"/>
    </row>
    <row r="32" spans="1:28" s="299" customFormat="1" ht="11.45" customHeight="1">
      <c r="A32" s="185"/>
      <c r="C32" s="348"/>
      <c r="D32" s="325" t="s">
        <v>166</v>
      </c>
      <c r="E32" s="325" t="s">
        <v>3543</v>
      </c>
      <c r="F32" s="748">
        <v>99001</v>
      </c>
      <c r="G32" s="748">
        <v>138601</v>
      </c>
      <c r="H32" s="748">
        <v>178201</v>
      </c>
      <c r="I32" s="748">
        <v>237601</v>
      </c>
      <c r="J32" s="748">
        <v>297002</v>
      </c>
      <c r="L32" s="325" t="s">
        <v>166</v>
      </c>
      <c r="M32" s="325" t="s">
        <v>3543</v>
      </c>
      <c r="N32" s="746">
        <f t="shared" si="6"/>
        <v>108901</v>
      </c>
      <c r="O32" s="746">
        <f t="shared" si="6"/>
        <v>152461</v>
      </c>
      <c r="P32" s="746">
        <f t="shared" si="6"/>
        <v>196021</v>
      </c>
      <c r="Q32" s="746">
        <f t="shared" si="6"/>
        <v>261361</v>
      </c>
      <c r="R32" s="746">
        <f t="shared" si="6"/>
        <v>326702</v>
      </c>
      <c r="S32" s="325"/>
      <c r="T32" s="183"/>
      <c r="U32" s="183"/>
      <c r="V32" s="308"/>
      <c r="W32" s="308"/>
      <c r="X32" s="308"/>
      <c r="AA32" s="593"/>
      <c r="AB32" s="593"/>
    </row>
    <row r="33" spans="1:28" s="299" customFormat="1" ht="11.45" customHeight="1">
      <c r="A33" s="185"/>
      <c r="C33" s="348"/>
      <c r="D33" s="325" t="s">
        <v>166</v>
      </c>
      <c r="E33" s="325" t="s">
        <v>3541</v>
      </c>
      <c r="F33" s="748">
        <v>114482</v>
      </c>
      <c r="G33" s="748">
        <v>151227</v>
      </c>
      <c r="H33" s="748">
        <v>181688</v>
      </c>
      <c r="I33" s="748">
        <v>219969</v>
      </c>
      <c r="J33" s="748">
        <v>261827</v>
      </c>
      <c r="L33" s="325" t="s">
        <v>166</v>
      </c>
      <c r="M33" s="325" t="s">
        <v>3541</v>
      </c>
      <c r="N33" s="746">
        <f t="shared" si="6"/>
        <v>125930</v>
      </c>
      <c r="O33" s="746">
        <f t="shared" si="6"/>
        <v>166349</v>
      </c>
      <c r="P33" s="746">
        <f t="shared" si="6"/>
        <v>199856</v>
      </c>
      <c r="Q33" s="746">
        <f t="shared" si="6"/>
        <v>241965</v>
      </c>
      <c r="R33" s="746">
        <f t="shared" si="6"/>
        <v>288009</v>
      </c>
      <c r="S33" s="325"/>
      <c r="T33" s="183"/>
      <c r="U33" s="183"/>
      <c r="V33" s="308"/>
      <c r="W33" s="308"/>
      <c r="X33" s="308"/>
      <c r="AA33" s="593"/>
      <c r="AB33" s="593"/>
    </row>
    <row r="34" spans="1:28" s="299" customFormat="1" ht="11.45" customHeight="1">
      <c r="A34" s="185"/>
      <c r="C34" s="348"/>
      <c r="D34" s="325" t="s">
        <v>166</v>
      </c>
      <c r="E34" s="325" t="s">
        <v>3542</v>
      </c>
      <c r="F34" s="748">
        <v>93495</v>
      </c>
      <c r="G34" s="748">
        <v>129104</v>
      </c>
      <c r="H34" s="748">
        <v>163685</v>
      </c>
      <c r="I34" s="748">
        <v>213643</v>
      </c>
      <c r="J34" s="748">
        <v>266301</v>
      </c>
      <c r="L34" s="325" t="s">
        <v>166</v>
      </c>
      <c r="M34" s="325" t="s">
        <v>3542</v>
      </c>
      <c r="N34" s="746">
        <f t="shared" si="6"/>
        <v>102844</v>
      </c>
      <c r="O34" s="746">
        <f t="shared" si="6"/>
        <v>142014</v>
      </c>
      <c r="P34" s="746">
        <f t="shared" si="6"/>
        <v>180053</v>
      </c>
      <c r="Q34" s="746">
        <f t="shared" si="6"/>
        <v>235007</v>
      </c>
      <c r="R34" s="746">
        <f t="shared" si="6"/>
        <v>292931</v>
      </c>
      <c r="S34" s="325"/>
      <c r="T34" s="183"/>
      <c r="U34" s="183"/>
      <c r="V34" s="308"/>
      <c r="W34" s="308"/>
      <c r="X34" s="308"/>
      <c r="AA34" s="593"/>
      <c r="AB34" s="593"/>
    </row>
    <row r="35" spans="1:28" s="299" customFormat="1" ht="11.45" customHeight="1">
      <c r="A35" s="185"/>
      <c r="C35" s="348"/>
      <c r="D35" s="325" t="s">
        <v>1369</v>
      </c>
      <c r="E35" s="325" t="s">
        <v>3546</v>
      </c>
      <c r="F35" s="748">
        <v>121705</v>
      </c>
      <c r="G35" s="748">
        <v>160465</v>
      </c>
      <c r="H35" s="748">
        <v>192448</v>
      </c>
      <c r="I35" s="748">
        <v>232045</v>
      </c>
      <c r="J35" s="748">
        <v>273679</v>
      </c>
      <c r="L35" s="747" t="s">
        <v>1369</v>
      </c>
      <c r="M35" s="747" t="s">
        <v>3546</v>
      </c>
      <c r="N35" s="746">
        <f t="shared" si="1"/>
        <v>133875</v>
      </c>
      <c r="O35" s="746">
        <f t="shared" si="2"/>
        <v>176511</v>
      </c>
      <c r="P35" s="746">
        <f t="shared" si="3"/>
        <v>211692</v>
      </c>
      <c r="Q35" s="746">
        <f t="shared" si="4"/>
        <v>255249</v>
      </c>
      <c r="R35" s="746">
        <f t="shared" si="5"/>
        <v>301046</v>
      </c>
      <c r="S35" s="325"/>
      <c r="T35" s="183"/>
      <c r="U35" s="183"/>
      <c r="V35" s="308"/>
      <c r="W35" s="308"/>
      <c r="X35" s="308"/>
      <c r="AA35" s="593"/>
      <c r="AB35" s="593"/>
    </row>
    <row r="36" spans="1:28" s="299" customFormat="1" ht="11.45" customHeight="1">
      <c r="A36" s="185"/>
      <c r="C36" s="348"/>
      <c r="D36" s="325" t="s">
        <v>1369</v>
      </c>
      <c r="E36" s="325" t="s">
        <v>3543</v>
      </c>
      <c r="F36" s="748">
        <v>100179</v>
      </c>
      <c r="G36" s="748">
        <v>140251</v>
      </c>
      <c r="H36" s="748">
        <v>180323</v>
      </c>
      <c r="I36" s="748">
        <v>240430</v>
      </c>
      <c r="J36" s="748">
        <v>300538</v>
      </c>
      <c r="L36" s="747" t="s">
        <v>1369</v>
      </c>
      <c r="M36" s="747" t="s">
        <v>3543</v>
      </c>
      <c r="N36" s="746">
        <f t="shared" si="1"/>
        <v>110196</v>
      </c>
      <c r="O36" s="746">
        <f t="shared" si="2"/>
        <v>154276</v>
      </c>
      <c r="P36" s="746">
        <f t="shared" si="3"/>
        <v>198355</v>
      </c>
      <c r="Q36" s="746">
        <f t="shared" si="4"/>
        <v>264473</v>
      </c>
      <c r="R36" s="746">
        <f t="shared" si="5"/>
        <v>330591</v>
      </c>
      <c r="S36" s="325"/>
      <c r="T36" s="183"/>
      <c r="U36" s="183"/>
      <c r="V36" s="308"/>
      <c r="W36" s="308"/>
      <c r="X36" s="308"/>
      <c r="AA36" s="593"/>
      <c r="AB36" s="593"/>
    </row>
    <row r="37" spans="1:28" s="299" customFormat="1" ht="11.45" customHeight="1">
      <c r="A37" s="185"/>
      <c r="C37" s="348"/>
      <c r="D37" s="325" t="s">
        <v>1369</v>
      </c>
      <c r="E37" s="325" t="s">
        <v>3541</v>
      </c>
      <c r="F37" s="748">
        <v>115478</v>
      </c>
      <c r="G37" s="748">
        <v>152670</v>
      </c>
      <c r="H37" s="748">
        <v>183621</v>
      </c>
      <c r="I37" s="748">
        <v>222660</v>
      </c>
      <c r="J37" s="748">
        <v>265155</v>
      </c>
      <c r="L37" s="747" t="s">
        <v>1369</v>
      </c>
      <c r="M37" s="747" t="s">
        <v>3541</v>
      </c>
      <c r="N37" s="746">
        <f t="shared" si="1"/>
        <v>127025</v>
      </c>
      <c r="O37" s="746">
        <f t="shared" si="2"/>
        <v>167937</v>
      </c>
      <c r="P37" s="746">
        <f t="shared" si="3"/>
        <v>201983</v>
      </c>
      <c r="Q37" s="746">
        <f t="shared" si="4"/>
        <v>244926</v>
      </c>
      <c r="R37" s="746">
        <f t="shared" si="5"/>
        <v>291670</v>
      </c>
      <c r="S37" s="325"/>
      <c r="T37" s="183"/>
      <c r="U37" s="183"/>
      <c r="V37" s="308"/>
      <c r="W37" s="308"/>
      <c r="X37" s="308"/>
      <c r="AA37" s="593"/>
      <c r="AB37" s="593"/>
    </row>
    <row r="38" spans="1:28" s="299" customFormat="1" ht="11.45" customHeight="1">
      <c r="A38" s="185"/>
      <c r="C38" s="348"/>
      <c r="D38" s="325" t="s">
        <v>1369</v>
      </c>
      <c r="E38" s="325" t="s">
        <v>3542</v>
      </c>
      <c r="F38" s="748">
        <v>94061</v>
      </c>
      <c r="G38" s="748">
        <v>129832</v>
      </c>
      <c r="H38" s="748">
        <v>164538</v>
      </c>
      <c r="I38" s="748">
        <v>214614</v>
      </c>
      <c r="J38" s="748">
        <v>267487</v>
      </c>
      <c r="L38" s="747" t="s">
        <v>1369</v>
      </c>
      <c r="M38" s="747" t="s">
        <v>3542</v>
      </c>
      <c r="N38" s="746">
        <f t="shared" si="1"/>
        <v>103467</v>
      </c>
      <c r="O38" s="746">
        <f t="shared" si="2"/>
        <v>142815</v>
      </c>
      <c r="P38" s="746">
        <f t="shared" si="3"/>
        <v>180991</v>
      </c>
      <c r="Q38" s="746">
        <f t="shared" si="4"/>
        <v>236075</v>
      </c>
      <c r="R38" s="746">
        <f t="shared" si="5"/>
        <v>294235</v>
      </c>
      <c r="S38" s="325"/>
      <c r="T38" s="183"/>
      <c r="U38" s="183"/>
      <c r="V38" s="308"/>
      <c r="W38" s="308"/>
      <c r="X38" s="308"/>
      <c r="AA38" s="593"/>
      <c r="AB38" s="593"/>
    </row>
    <row r="39" spans="1:28" s="299" customFormat="1" ht="11.45" customHeight="1">
      <c r="A39" s="185"/>
      <c r="C39" s="348"/>
      <c r="D39" s="325" t="s">
        <v>2348</v>
      </c>
      <c r="E39" s="325" t="s">
        <v>3546</v>
      </c>
      <c r="F39" s="748">
        <v>131289</v>
      </c>
      <c r="G39" s="748">
        <v>172843</v>
      </c>
      <c r="H39" s="748">
        <v>206884</v>
      </c>
      <c r="I39" s="748">
        <v>248747</v>
      </c>
      <c r="J39" s="748">
        <v>293233</v>
      </c>
      <c r="L39" s="747" t="s">
        <v>2348</v>
      </c>
      <c r="M39" s="747" t="s">
        <v>3546</v>
      </c>
      <c r="N39" s="746">
        <f t="shared" si="1"/>
        <v>144417</v>
      </c>
      <c r="O39" s="746">
        <f t="shared" si="2"/>
        <v>190127</v>
      </c>
      <c r="P39" s="746">
        <f t="shared" si="3"/>
        <v>227572</v>
      </c>
      <c r="Q39" s="746">
        <f t="shared" si="4"/>
        <v>273621</v>
      </c>
      <c r="R39" s="746">
        <f t="shared" si="5"/>
        <v>322556</v>
      </c>
      <c r="S39" s="325"/>
      <c r="T39" s="183"/>
      <c r="U39" s="183"/>
      <c r="V39" s="308"/>
      <c r="W39" s="308"/>
      <c r="X39" s="308"/>
      <c r="AA39" s="593"/>
      <c r="AB39" s="593"/>
    </row>
    <row r="40" spans="1:28" s="299" customFormat="1" ht="11.45" customHeight="1">
      <c r="A40" s="185"/>
      <c r="C40" s="348"/>
      <c r="D40" s="325" t="s">
        <v>2348</v>
      </c>
      <c r="E40" s="325" t="s">
        <v>3543</v>
      </c>
      <c r="F40" s="748">
        <v>107667</v>
      </c>
      <c r="G40" s="748">
        <v>150734</v>
      </c>
      <c r="H40" s="748">
        <v>193800</v>
      </c>
      <c r="I40" s="748">
        <v>258401</v>
      </c>
      <c r="J40" s="748">
        <v>323001</v>
      </c>
      <c r="L40" s="747" t="s">
        <v>2348</v>
      </c>
      <c r="M40" s="747" t="s">
        <v>3543</v>
      </c>
      <c r="N40" s="746">
        <f t="shared" si="1"/>
        <v>118433</v>
      </c>
      <c r="O40" s="746">
        <f t="shared" si="2"/>
        <v>165807</v>
      </c>
      <c r="P40" s="746">
        <f t="shared" si="3"/>
        <v>213180</v>
      </c>
      <c r="Q40" s="746">
        <f t="shared" si="4"/>
        <v>284241</v>
      </c>
      <c r="R40" s="746">
        <f t="shared" si="5"/>
        <v>355301</v>
      </c>
      <c r="S40" s="325"/>
      <c r="T40" s="183"/>
      <c r="U40" s="183"/>
      <c r="V40" s="308"/>
      <c r="W40" s="308"/>
      <c r="X40" s="308"/>
      <c r="AA40" s="593"/>
      <c r="AB40" s="593"/>
    </row>
    <row r="41" spans="1:28" s="299" customFormat="1" ht="11.45" customHeight="1">
      <c r="A41" s="185"/>
      <c r="C41" s="348"/>
      <c r="D41" s="325" t="s">
        <v>2348</v>
      </c>
      <c r="E41" s="325" t="s">
        <v>3541</v>
      </c>
      <c r="F41" s="748">
        <v>124917</v>
      </c>
      <c r="G41" s="748">
        <v>164867</v>
      </c>
      <c r="H41" s="748">
        <v>197852</v>
      </c>
      <c r="I41" s="748">
        <v>239143</v>
      </c>
      <c r="J41" s="748">
        <v>284510</v>
      </c>
      <c r="L41" s="747" t="s">
        <v>2348</v>
      </c>
      <c r="M41" s="747" t="s">
        <v>3541</v>
      </c>
      <c r="N41" s="746">
        <f t="shared" si="1"/>
        <v>137408</v>
      </c>
      <c r="O41" s="746">
        <f t="shared" si="2"/>
        <v>181353</v>
      </c>
      <c r="P41" s="746">
        <f t="shared" si="3"/>
        <v>217637</v>
      </c>
      <c r="Q41" s="746">
        <f t="shared" si="4"/>
        <v>263057</v>
      </c>
      <c r="R41" s="746">
        <f t="shared" si="5"/>
        <v>312961</v>
      </c>
      <c r="S41" s="325"/>
      <c r="T41" s="183"/>
      <c r="U41" s="183"/>
      <c r="V41" s="308"/>
      <c r="W41" s="308"/>
      <c r="X41" s="308"/>
      <c r="AA41" s="593"/>
      <c r="AB41" s="593"/>
    </row>
    <row r="42" spans="1:28" s="299" customFormat="1" ht="11.45" customHeight="1">
      <c r="A42" s="185"/>
      <c r="C42" s="348"/>
      <c r="D42" s="325" t="s">
        <v>2348</v>
      </c>
      <c r="E42" s="325" t="s">
        <v>3542</v>
      </c>
      <c r="F42" s="748">
        <v>102295</v>
      </c>
      <c r="G42" s="748">
        <v>141317</v>
      </c>
      <c r="H42" s="748">
        <v>179248</v>
      </c>
      <c r="I42" s="748">
        <v>234116</v>
      </c>
      <c r="J42" s="748">
        <v>291847</v>
      </c>
      <c r="L42" s="747" t="s">
        <v>2348</v>
      </c>
      <c r="M42" s="747" t="s">
        <v>3542</v>
      </c>
      <c r="N42" s="746">
        <f t="shared" si="1"/>
        <v>112524</v>
      </c>
      <c r="O42" s="746">
        <f t="shared" si="2"/>
        <v>155448</v>
      </c>
      <c r="P42" s="746">
        <f t="shared" si="3"/>
        <v>197172</v>
      </c>
      <c r="Q42" s="746">
        <f t="shared" si="4"/>
        <v>257527</v>
      </c>
      <c r="R42" s="746">
        <f t="shared" si="5"/>
        <v>321031</v>
      </c>
      <c r="S42" s="325"/>
      <c r="T42" s="183"/>
      <c r="U42" s="183"/>
      <c r="V42" s="308"/>
      <c r="W42" s="308"/>
      <c r="X42" s="308"/>
      <c r="AA42" s="593"/>
      <c r="AB42" s="593"/>
    </row>
    <row r="43" spans="1:28" s="299" customFormat="1" ht="11.45" customHeight="1">
      <c r="A43" s="185"/>
      <c r="C43" s="348"/>
      <c r="D43" s="325" t="s">
        <v>1375</v>
      </c>
      <c r="E43" s="325" t="s">
        <v>3546</v>
      </c>
      <c r="F43" s="748">
        <v>123885</v>
      </c>
      <c r="G43" s="748">
        <v>163364</v>
      </c>
      <c r="H43" s="748">
        <v>195965</v>
      </c>
      <c r="I43" s="748">
        <v>236353</v>
      </c>
      <c r="J43" s="748">
        <v>278774</v>
      </c>
      <c r="L43" s="747" t="s">
        <v>1375</v>
      </c>
      <c r="M43" s="747" t="s">
        <v>3546</v>
      </c>
      <c r="N43" s="746">
        <f t="shared" si="1"/>
        <v>136273</v>
      </c>
      <c r="O43" s="746">
        <f t="shared" si="2"/>
        <v>179700</v>
      </c>
      <c r="P43" s="746">
        <f t="shared" si="3"/>
        <v>215561</v>
      </c>
      <c r="Q43" s="746">
        <f t="shared" si="4"/>
        <v>259988</v>
      </c>
      <c r="R43" s="746">
        <f t="shared" si="5"/>
        <v>306651</v>
      </c>
      <c r="S43" s="325"/>
      <c r="T43" s="183"/>
      <c r="U43" s="183"/>
      <c r="V43" s="308"/>
      <c r="W43" s="308"/>
      <c r="X43" s="308"/>
      <c r="AA43" s="593"/>
      <c r="AB43" s="593"/>
    </row>
    <row r="44" spans="1:28" s="299" customFormat="1" ht="11.45" customHeight="1">
      <c r="A44" s="185"/>
      <c r="C44" s="348"/>
      <c r="D44" s="325" t="s">
        <v>1375</v>
      </c>
      <c r="E44" s="325" t="s">
        <v>3543</v>
      </c>
      <c r="F44" s="748">
        <v>102012</v>
      </c>
      <c r="G44" s="748">
        <v>142817</v>
      </c>
      <c r="H44" s="748">
        <v>183622</v>
      </c>
      <c r="I44" s="748">
        <v>244829</v>
      </c>
      <c r="J44" s="748">
        <v>306037</v>
      </c>
      <c r="L44" s="747" t="s">
        <v>1375</v>
      </c>
      <c r="M44" s="747" t="s">
        <v>3543</v>
      </c>
      <c r="N44" s="746">
        <f t="shared" si="1"/>
        <v>112213</v>
      </c>
      <c r="O44" s="746">
        <f t="shared" si="2"/>
        <v>157098</v>
      </c>
      <c r="P44" s="746">
        <f t="shared" si="3"/>
        <v>201984</v>
      </c>
      <c r="Q44" s="746">
        <f t="shared" si="4"/>
        <v>269311</v>
      </c>
      <c r="R44" s="746">
        <f t="shared" si="5"/>
        <v>336640</v>
      </c>
      <c r="S44" s="325"/>
      <c r="T44" s="183"/>
      <c r="U44" s="183"/>
      <c r="V44" s="308"/>
      <c r="W44" s="308"/>
      <c r="X44" s="308"/>
      <c r="AA44" s="593"/>
      <c r="AB44" s="593"/>
    </row>
    <row r="45" spans="1:28" s="299" customFormat="1" ht="11.45" customHeight="1">
      <c r="A45" s="185"/>
      <c r="C45" s="348"/>
      <c r="D45" s="325" t="s">
        <v>1375</v>
      </c>
      <c r="E45" s="325" t="s">
        <v>3541</v>
      </c>
      <c r="F45" s="748">
        <v>117513</v>
      </c>
      <c r="G45" s="748">
        <v>155388</v>
      </c>
      <c r="H45" s="748">
        <v>186932</v>
      </c>
      <c r="I45" s="748">
        <v>226749</v>
      </c>
      <c r="J45" s="748">
        <v>270051</v>
      </c>
      <c r="L45" s="747" t="s">
        <v>1375</v>
      </c>
      <c r="M45" s="747" t="s">
        <v>3541</v>
      </c>
      <c r="N45" s="746">
        <f t="shared" si="1"/>
        <v>129264</v>
      </c>
      <c r="O45" s="746">
        <f t="shared" si="2"/>
        <v>170926</v>
      </c>
      <c r="P45" s="746">
        <f t="shared" si="3"/>
        <v>205625</v>
      </c>
      <c r="Q45" s="746">
        <f t="shared" si="4"/>
        <v>249423</v>
      </c>
      <c r="R45" s="746">
        <f t="shared" si="5"/>
        <v>297056</v>
      </c>
      <c r="S45" s="325"/>
      <c r="T45" s="183"/>
      <c r="U45" s="183"/>
      <c r="V45" s="308"/>
      <c r="W45" s="308"/>
      <c r="X45" s="308"/>
      <c r="AA45" s="593"/>
      <c r="AB45" s="593"/>
    </row>
    <row r="46" spans="1:28" s="299" customFormat="1" ht="11.45" customHeight="1">
      <c r="A46" s="185"/>
      <c r="C46" s="348"/>
      <c r="D46" s="325" t="s">
        <v>1375</v>
      </c>
      <c r="E46" s="325" t="s">
        <v>3542</v>
      </c>
      <c r="F46" s="748">
        <v>95666</v>
      </c>
      <c r="G46" s="748">
        <v>132036</v>
      </c>
      <c r="H46" s="748">
        <v>167316</v>
      </c>
      <c r="I46" s="748">
        <v>218207</v>
      </c>
      <c r="J46" s="748">
        <v>271960</v>
      </c>
      <c r="L46" s="747" t="s">
        <v>1375</v>
      </c>
      <c r="M46" s="747" t="s">
        <v>3542</v>
      </c>
      <c r="N46" s="746">
        <f t="shared" si="1"/>
        <v>105232</v>
      </c>
      <c r="O46" s="746">
        <f t="shared" si="2"/>
        <v>145239</v>
      </c>
      <c r="P46" s="746">
        <f t="shared" si="3"/>
        <v>184047</v>
      </c>
      <c r="Q46" s="746">
        <f t="shared" si="4"/>
        <v>240027</v>
      </c>
      <c r="R46" s="746">
        <f t="shared" si="5"/>
        <v>299156</v>
      </c>
      <c r="S46" s="325"/>
      <c r="T46" s="183"/>
      <c r="U46" s="183"/>
      <c r="V46" s="308"/>
      <c r="W46" s="308"/>
      <c r="X46" s="308"/>
      <c r="AA46" s="593"/>
      <c r="AB46" s="593"/>
    </row>
    <row r="47" spans="1:28" s="299" customFormat="1" ht="11.45" customHeight="1">
      <c r="A47" s="185"/>
      <c r="C47" s="348"/>
      <c r="D47" s="325" t="s">
        <v>1760</v>
      </c>
      <c r="E47" s="325" t="s">
        <v>3546</v>
      </c>
      <c r="F47" s="748">
        <v>116379</v>
      </c>
      <c r="G47" s="748">
        <v>153483</v>
      </c>
      <c r="H47" s="748">
        <v>184141</v>
      </c>
      <c r="I47" s="748">
        <v>222141</v>
      </c>
      <c r="J47" s="748">
        <v>262021</v>
      </c>
      <c r="L47" s="747" t="s">
        <v>1760</v>
      </c>
      <c r="M47" s="747" t="s">
        <v>3546</v>
      </c>
      <c r="N47" s="746">
        <f t="shared" si="1"/>
        <v>128016</v>
      </c>
      <c r="O47" s="746">
        <f t="shared" si="2"/>
        <v>168831</v>
      </c>
      <c r="P47" s="746">
        <f t="shared" si="3"/>
        <v>202555</v>
      </c>
      <c r="Q47" s="746">
        <f t="shared" si="4"/>
        <v>244355</v>
      </c>
      <c r="R47" s="746">
        <f t="shared" si="5"/>
        <v>288223</v>
      </c>
      <c r="S47" s="325"/>
      <c r="T47" s="183"/>
      <c r="U47" s="183"/>
      <c r="V47" s="308"/>
      <c r="W47" s="308"/>
      <c r="X47" s="308"/>
      <c r="AA47" s="593"/>
      <c r="AB47" s="593"/>
    </row>
    <row r="48" spans="1:28" s="299" customFormat="1" ht="11.45" customHeight="1">
      <c r="A48" s="185"/>
      <c r="C48" s="348"/>
      <c r="D48" s="325" t="s">
        <v>1760</v>
      </c>
      <c r="E48" s="325" t="s">
        <v>3543</v>
      </c>
      <c r="F48" s="748">
        <v>95859</v>
      </c>
      <c r="G48" s="748">
        <v>134203</v>
      </c>
      <c r="H48" s="748">
        <v>172546</v>
      </c>
      <c r="I48" s="748">
        <v>230062</v>
      </c>
      <c r="J48" s="748">
        <v>287577</v>
      </c>
      <c r="L48" s="747" t="s">
        <v>1760</v>
      </c>
      <c r="M48" s="747" t="s">
        <v>3543</v>
      </c>
      <c r="N48" s="746">
        <f t="shared" si="1"/>
        <v>105444</v>
      </c>
      <c r="O48" s="746">
        <f t="shared" si="2"/>
        <v>147623</v>
      </c>
      <c r="P48" s="746">
        <f t="shared" si="3"/>
        <v>189800</v>
      </c>
      <c r="Q48" s="746">
        <f t="shared" si="4"/>
        <v>253068</v>
      </c>
      <c r="R48" s="746">
        <f t="shared" si="5"/>
        <v>316334</v>
      </c>
      <c r="S48" s="325"/>
      <c r="T48" s="183"/>
      <c r="U48" s="183"/>
      <c r="V48" s="308"/>
      <c r="W48" s="308"/>
      <c r="X48" s="308"/>
      <c r="AA48" s="593"/>
      <c r="AB48" s="593"/>
    </row>
    <row r="49" spans="1:28" s="299" customFormat="1" ht="11.45" customHeight="1">
      <c r="A49" s="185"/>
      <c r="C49" s="348"/>
      <c r="D49" s="325" t="s">
        <v>1760</v>
      </c>
      <c r="E49" s="325" t="s">
        <v>3541</v>
      </c>
      <c r="F49" s="748">
        <v>110368</v>
      </c>
      <c r="G49" s="748">
        <v>145960</v>
      </c>
      <c r="H49" s="748">
        <v>175622</v>
      </c>
      <c r="I49" s="748">
        <v>213083</v>
      </c>
      <c r="J49" s="748">
        <v>253794</v>
      </c>
      <c r="L49" s="747" t="s">
        <v>1760</v>
      </c>
      <c r="M49" s="747" t="s">
        <v>3541</v>
      </c>
      <c r="N49" s="746">
        <f t="shared" si="1"/>
        <v>121404</v>
      </c>
      <c r="O49" s="746">
        <f t="shared" si="2"/>
        <v>160556</v>
      </c>
      <c r="P49" s="746">
        <f t="shared" si="3"/>
        <v>193184</v>
      </c>
      <c r="Q49" s="746">
        <f t="shared" si="4"/>
        <v>234391</v>
      </c>
      <c r="R49" s="746">
        <f t="shared" si="5"/>
        <v>279173</v>
      </c>
      <c r="S49" s="325"/>
      <c r="T49" s="183"/>
      <c r="U49" s="183"/>
      <c r="V49" s="308"/>
      <c r="W49" s="308"/>
      <c r="X49" s="308"/>
      <c r="AA49" s="593"/>
      <c r="AB49" s="593"/>
    </row>
    <row r="50" spans="1:28" s="299" customFormat="1" ht="11.45" customHeight="1">
      <c r="A50" s="185"/>
      <c r="C50" s="348"/>
      <c r="D50" s="325" t="s">
        <v>1760</v>
      </c>
      <c r="E50" s="325" t="s">
        <v>3542</v>
      </c>
      <c r="F50" s="748">
        <v>89812</v>
      </c>
      <c r="G50" s="748">
        <v>123948</v>
      </c>
      <c r="H50" s="748">
        <v>157056</v>
      </c>
      <c r="I50" s="748">
        <v>204805</v>
      </c>
      <c r="J50" s="748">
        <v>255253</v>
      </c>
      <c r="L50" s="747" t="s">
        <v>1760</v>
      </c>
      <c r="M50" s="747" t="s">
        <v>3542</v>
      </c>
      <c r="N50" s="746">
        <f t="shared" si="1"/>
        <v>98793</v>
      </c>
      <c r="O50" s="746">
        <f t="shared" si="2"/>
        <v>136342</v>
      </c>
      <c r="P50" s="746">
        <f t="shared" si="3"/>
        <v>172761</v>
      </c>
      <c r="Q50" s="746">
        <f t="shared" si="4"/>
        <v>225285</v>
      </c>
      <c r="R50" s="746">
        <f t="shared" si="5"/>
        <v>280778</v>
      </c>
      <c r="S50" s="325"/>
      <c r="T50" s="183"/>
      <c r="U50" s="183"/>
      <c r="V50" s="308"/>
      <c r="W50" s="308"/>
      <c r="X50" s="308"/>
      <c r="AA50" s="593"/>
      <c r="AB50" s="593"/>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3"/>
      <c r="AB51" s="593"/>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3"/>
      <c r="AB52" s="593"/>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3"/>
      <c r="AB53" s="593"/>
    </row>
    <row r="54" spans="1:28" s="299" customFormat="1" ht="11.45" customHeight="1">
      <c r="A54" s="185"/>
      <c r="B54" s="185"/>
      <c r="C54" s="185"/>
      <c r="D54" s="183"/>
      <c r="E54" s="183"/>
      <c r="F54" s="185" t="s">
        <v>3828</v>
      </c>
      <c r="G54" s="185"/>
      <c r="H54" s="183"/>
      <c r="I54" s="183"/>
      <c r="J54" s="873">
        <v>110481</v>
      </c>
      <c r="K54" s="873">
        <v>126647</v>
      </c>
      <c r="L54" s="873">
        <v>154003</v>
      </c>
      <c r="M54" s="873">
        <v>199229</v>
      </c>
      <c r="N54" s="873">
        <v>199229</v>
      </c>
      <c r="O54" s="185"/>
      <c r="Q54" s="874">
        <v>1000</v>
      </c>
      <c r="R54" s="874">
        <v>0</v>
      </c>
      <c r="S54" s="325" t="s">
        <v>3827</v>
      </c>
      <c r="T54" s="307"/>
      <c r="U54" s="183"/>
      <c r="V54" s="308"/>
      <c r="W54" s="308"/>
      <c r="X54" s="308"/>
      <c r="AA54" s="593"/>
      <c r="AB54" s="593"/>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3"/>
      <c r="AB55" s="593"/>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3"/>
      <c r="AB56" s="593"/>
    </row>
    <row r="57" spans="1:28" s="299" customFormat="1" ht="11.45" customHeight="1">
      <c r="A57" s="183"/>
      <c r="B57" s="185" t="s">
        <v>1238</v>
      </c>
      <c r="C57" s="185"/>
      <c r="D57" s="183"/>
      <c r="E57" s="183"/>
      <c r="F57" s="185" t="s">
        <v>1239</v>
      </c>
      <c r="G57" s="185" t="s">
        <v>4101</v>
      </c>
      <c r="H57" s="183"/>
      <c r="I57" s="183"/>
      <c r="J57" s="185" t="s">
        <v>1587</v>
      </c>
      <c r="K57" s="185"/>
      <c r="L57" s="185"/>
      <c r="M57" s="185"/>
      <c r="N57" s="185"/>
      <c r="O57" s="185"/>
      <c r="P57" s="183"/>
      <c r="Q57" s="187">
        <v>4500</v>
      </c>
      <c r="R57" s="313" t="s">
        <v>1799</v>
      </c>
      <c r="S57" s="314"/>
      <c r="AA57" s="593"/>
      <c r="AB57" s="593"/>
    </row>
    <row r="58" spans="1:28" s="299" customFormat="1" ht="11.45" customHeight="1">
      <c r="A58" s="183"/>
      <c r="B58" s="185"/>
      <c r="C58" s="185"/>
      <c r="D58" s="183"/>
      <c r="E58" s="183"/>
      <c r="F58" s="185"/>
      <c r="G58" s="185" t="s">
        <v>4100</v>
      </c>
      <c r="H58" s="183"/>
      <c r="I58" s="183"/>
      <c r="J58" s="185" t="s">
        <v>1587</v>
      </c>
      <c r="K58" s="185"/>
      <c r="L58" s="185"/>
      <c r="M58" s="185"/>
      <c r="N58" s="185"/>
      <c r="O58" s="185"/>
      <c r="P58" s="183"/>
      <c r="Q58" s="187">
        <v>4000</v>
      </c>
      <c r="R58" s="313" t="s">
        <v>1799</v>
      </c>
      <c r="S58" s="314"/>
      <c r="AA58" s="593"/>
      <c r="AB58" s="593"/>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3"/>
      <c r="AB59" s="593"/>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3" t="s">
        <v>1799</v>
      </c>
      <c r="S60" s="314"/>
      <c r="AA60" s="593"/>
      <c r="AB60" s="593"/>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3" t="s">
        <v>1799</v>
      </c>
      <c r="S61" s="314"/>
      <c r="T61" s="314"/>
      <c r="U61" s="314"/>
      <c r="AA61" s="593"/>
      <c r="AB61" s="593"/>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3"/>
      <c r="AB62" s="593"/>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3"/>
      <c r="AB63" s="593"/>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5">
        <v>420</v>
      </c>
      <c r="R64" s="313" t="s">
        <v>1799</v>
      </c>
      <c r="S64" s="314"/>
      <c r="T64" s="314"/>
      <c r="U64" s="314"/>
      <c r="AA64" s="593"/>
      <c r="AB64" s="593"/>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3"/>
      <c r="AB65" s="593"/>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3"/>
      <c r="AB66" s="593"/>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3"/>
      <c r="AB67" s="593"/>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450">
        <v>6500</v>
      </c>
      <c r="R68" s="2451"/>
      <c r="S68" s="314"/>
      <c r="T68" s="314"/>
      <c r="U68" s="314"/>
      <c r="AA68" s="593"/>
      <c r="AB68" s="593"/>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450">
        <v>5500</v>
      </c>
      <c r="R69" s="2451"/>
      <c r="S69" s="314"/>
      <c r="T69" s="314"/>
      <c r="U69" s="314"/>
      <c r="AA69" s="593"/>
      <c r="AB69" s="593"/>
    </row>
    <row r="70" spans="1:28" s="299" customFormat="1" ht="11.45" customHeight="1">
      <c r="A70" s="185"/>
      <c r="B70" s="185"/>
      <c r="C70" s="185"/>
      <c r="D70" s="185"/>
      <c r="E70" s="183"/>
      <c r="F70" s="188" t="s">
        <v>3681</v>
      </c>
      <c r="G70" s="185"/>
      <c r="H70" s="183"/>
      <c r="I70" s="183"/>
      <c r="J70" s="185"/>
      <c r="K70" s="185"/>
      <c r="L70" s="185"/>
      <c r="M70" s="185"/>
      <c r="N70" s="185"/>
      <c r="O70" s="185"/>
      <c r="P70" s="183"/>
      <c r="Q70" s="2450">
        <v>5000</v>
      </c>
      <c r="R70" s="2451"/>
      <c r="S70" s="314"/>
      <c r="T70" s="314"/>
      <c r="U70" s="314"/>
      <c r="AA70" s="593"/>
      <c r="AB70" s="593"/>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450">
        <v>1000</v>
      </c>
      <c r="R71" s="2451"/>
      <c r="S71" s="314"/>
      <c r="T71" s="314"/>
      <c r="U71" s="314"/>
      <c r="AA71" s="593"/>
      <c r="AB71" s="593"/>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450">
        <v>500</v>
      </c>
      <c r="R72" s="2451"/>
      <c r="S72" s="314"/>
      <c r="T72" s="314"/>
      <c r="U72" s="314"/>
      <c r="AA72" s="593"/>
      <c r="AB72" s="593"/>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450">
        <v>7000</v>
      </c>
      <c r="R73" s="2451"/>
      <c r="S73" s="314"/>
      <c r="T73" s="314"/>
      <c r="U73" s="314"/>
      <c r="AA73" s="593"/>
      <c r="AB73" s="593"/>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450">
        <v>6000</v>
      </c>
      <c r="R74" s="2451"/>
      <c r="S74" s="314"/>
      <c r="T74" s="314"/>
      <c r="U74" s="314"/>
      <c r="AA74" s="593"/>
      <c r="AB74" s="593"/>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3"/>
      <c r="AB75" s="593"/>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3"/>
      <c r="AB76" s="593"/>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3"/>
      <c r="AB77" s="593"/>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3"/>
      <c r="AB78" s="593"/>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3"/>
      <c r="AB79" s="593"/>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3"/>
      <c r="AB80" s="593"/>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3"/>
      <c r="AB81" s="593"/>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3"/>
      <c r="AB82" s="593"/>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449">
        <v>0.08</v>
      </c>
      <c r="R83" s="2449"/>
      <c r="S83" s="314"/>
      <c r="T83" s="314"/>
      <c r="U83" s="314"/>
      <c r="AA83" s="593"/>
      <c r="AB83" s="593"/>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449">
        <v>0.08</v>
      </c>
      <c r="R84" s="2449"/>
      <c r="S84" s="314"/>
      <c r="T84" s="314"/>
      <c r="U84" s="314"/>
      <c r="AA84" s="593"/>
      <c r="AB84" s="593"/>
    </row>
    <row r="85" spans="1:28" s="299" customFormat="1" ht="11.45" customHeight="1">
      <c r="A85" s="185"/>
      <c r="B85" s="188" t="s">
        <v>3750</v>
      </c>
      <c r="C85" s="185"/>
      <c r="D85" s="183"/>
      <c r="E85" s="183"/>
      <c r="F85" s="185"/>
      <c r="G85" s="185"/>
      <c r="H85" s="183"/>
      <c r="I85" s="183"/>
      <c r="J85" s="185"/>
      <c r="K85" s="185"/>
      <c r="L85" s="185"/>
      <c r="M85" s="185"/>
      <c r="N85" s="185"/>
      <c r="O85" s="185"/>
      <c r="P85" s="183"/>
      <c r="Q85" s="2450">
        <v>2700</v>
      </c>
      <c r="R85" s="2451"/>
      <c r="S85" s="314"/>
      <c r="T85" s="314"/>
      <c r="U85" s="314"/>
      <c r="AA85" s="593"/>
      <c r="AB85" s="593"/>
    </row>
    <row r="86" spans="1:28" s="299" customFormat="1" ht="11.45" customHeight="1">
      <c r="A86" s="185"/>
      <c r="B86" s="188" t="s">
        <v>2813</v>
      </c>
      <c r="C86" s="185"/>
      <c r="D86" s="183"/>
      <c r="E86" s="183"/>
      <c r="F86" s="185"/>
      <c r="G86" s="185"/>
      <c r="H86" s="183"/>
      <c r="I86" s="183"/>
      <c r="J86" s="185"/>
      <c r="K86" s="185"/>
      <c r="L86" s="185"/>
      <c r="M86" s="185"/>
      <c r="N86" s="185"/>
      <c r="O86" s="185"/>
      <c r="P86" s="183"/>
      <c r="Q86" s="2450">
        <v>1500</v>
      </c>
      <c r="R86" s="2451"/>
      <c r="S86" s="314"/>
      <c r="T86" s="314"/>
      <c r="U86" s="314"/>
      <c r="AA86" s="593"/>
      <c r="AB86" s="593"/>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3"/>
      <c r="AB87" s="593"/>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3"/>
      <c r="AB88" s="593"/>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3">
        <v>1500</v>
      </c>
      <c r="R89" s="313" t="s">
        <v>1799</v>
      </c>
      <c r="S89" s="314"/>
      <c r="T89" s="314"/>
      <c r="U89" s="314"/>
      <c r="AA89" s="593"/>
      <c r="AB89" s="593"/>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3"/>
      <c r="AB90" s="593"/>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450">
        <v>75</v>
      </c>
      <c r="R91" s="2451"/>
      <c r="S91" s="314"/>
      <c r="T91" s="314"/>
      <c r="U91" s="314"/>
      <c r="AA91" s="593"/>
      <c r="AB91" s="593"/>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450">
        <v>1800000</v>
      </c>
      <c r="R92" s="2451"/>
      <c r="S92" s="314"/>
      <c r="T92" s="314"/>
      <c r="U92" s="314"/>
      <c r="AA92" s="593"/>
      <c r="AB92" s="593"/>
    </row>
    <row r="93" spans="1:28" s="299" customFormat="1" ht="11.45" customHeight="1">
      <c r="A93" s="185"/>
      <c r="B93" s="185"/>
      <c r="C93" s="185"/>
      <c r="D93" s="183"/>
      <c r="E93" s="183"/>
      <c r="F93" s="185"/>
      <c r="G93" s="185"/>
      <c r="H93" s="185"/>
      <c r="I93" s="183"/>
      <c r="J93" s="185" t="s">
        <v>3658</v>
      </c>
      <c r="K93" s="185"/>
      <c r="L93" s="185"/>
      <c r="M93" s="185"/>
      <c r="N93" s="185"/>
      <c r="O93" s="185"/>
      <c r="P93" s="183"/>
      <c r="Q93" s="2450">
        <v>2500000</v>
      </c>
      <c r="R93" s="2451"/>
      <c r="S93" s="314"/>
      <c r="T93" s="314"/>
      <c r="U93" s="314"/>
      <c r="AA93" s="593"/>
      <c r="AB93" s="593"/>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449">
        <v>0.15</v>
      </c>
      <c r="R94" s="2449"/>
      <c r="S94" s="314"/>
      <c r="T94" s="314"/>
      <c r="U94" s="314"/>
      <c r="AA94" s="593"/>
      <c r="AB94" s="593"/>
    </row>
    <row r="95" spans="1:28" s="299" customFormat="1" ht="11.45" customHeight="1">
      <c r="A95" s="185"/>
      <c r="B95" s="425"/>
      <c r="C95" s="185"/>
      <c r="D95" s="183"/>
      <c r="E95" s="183"/>
      <c r="F95" s="185"/>
      <c r="G95" s="185"/>
      <c r="H95" s="185" t="s">
        <v>4047</v>
      </c>
      <c r="I95" s="185" t="s">
        <v>1008</v>
      </c>
      <c r="J95" s="185" t="s">
        <v>1010</v>
      </c>
      <c r="K95" s="185"/>
      <c r="L95" s="185"/>
      <c r="M95" s="185"/>
      <c r="N95" s="185"/>
      <c r="O95" s="185"/>
      <c r="P95" s="183"/>
      <c r="Q95" s="2449">
        <v>0.15</v>
      </c>
      <c r="R95" s="2449"/>
      <c r="S95" s="314"/>
      <c r="T95" s="314"/>
      <c r="U95" s="314"/>
      <c r="AA95" s="593"/>
      <c r="AB95" s="593"/>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449">
        <v>0.15</v>
      </c>
      <c r="R96" s="2449"/>
      <c r="S96" s="314"/>
      <c r="T96" s="314"/>
      <c r="U96" s="314"/>
      <c r="AA96" s="593"/>
      <c r="AB96" s="593"/>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449">
        <v>0.15</v>
      </c>
      <c r="R97" s="2449"/>
      <c r="S97" s="314"/>
      <c r="T97" s="314"/>
      <c r="U97" s="314"/>
      <c r="AA97" s="593"/>
      <c r="AB97" s="593"/>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449">
        <v>0.15</v>
      </c>
      <c r="R98" s="2449"/>
      <c r="S98" s="314"/>
      <c r="T98" s="314"/>
      <c r="U98" s="314"/>
      <c r="AA98" s="593"/>
      <c r="AB98" s="593"/>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449">
        <v>0.15</v>
      </c>
      <c r="R99" s="2449"/>
      <c r="S99" s="314"/>
      <c r="T99" s="314"/>
      <c r="U99" s="314"/>
      <c r="AA99" s="593"/>
      <c r="AB99" s="593"/>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449" t="s">
        <v>2458</v>
      </c>
      <c r="R100" s="2449"/>
      <c r="S100" s="314"/>
      <c r="T100" s="314"/>
      <c r="U100" s="314"/>
      <c r="AA100" s="593"/>
      <c r="AB100" s="593"/>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3"/>
      <c r="AB101" s="593"/>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3"/>
      <c r="AB102" s="593"/>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3"/>
      <c r="AB103" s="593"/>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3"/>
      <c r="AB104" s="593"/>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3"/>
      <c r="AB105" s="593"/>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450">
        <v>3000</v>
      </c>
      <c r="R106" s="2451"/>
      <c r="S106" s="314"/>
      <c r="T106" s="314"/>
      <c r="U106" s="314"/>
      <c r="AA106" s="593"/>
      <c r="AB106" s="593"/>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3"/>
      <c r="AB107" s="593"/>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3"/>
      <c r="AB108" s="593"/>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449">
        <v>0.02</v>
      </c>
      <c r="R111" s="2449"/>
      <c r="AA111" s="593"/>
      <c r="AB111" s="593"/>
    </row>
    <row r="112" spans="1:28" s="314" customFormat="1" ht="11.45" customHeight="1">
      <c r="A112" s="185"/>
      <c r="B112" s="185" t="s">
        <v>1833</v>
      </c>
      <c r="C112" s="185"/>
      <c r="D112" s="185"/>
      <c r="E112" s="185"/>
      <c r="F112" s="185"/>
      <c r="G112" s="185"/>
      <c r="H112" s="185"/>
      <c r="J112" s="185" t="s">
        <v>1832</v>
      </c>
      <c r="K112" s="185"/>
      <c r="L112" s="185"/>
      <c r="M112" s="185"/>
      <c r="N112" s="185"/>
      <c r="O112" s="185"/>
      <c r="Q112" s="2449">
        <v>7.0000000000000007E-2</v>
      </c>
      <c r="R112" s="2449"/>
      <c r="AA112" s="593"/>
      <c r="AB112" s="593"/>
    </row>
    <row r="113" spans="1:28" s="314" customFormat="1" ht="11.45" customHeight="1">
      <c r="A113" s="185"/>
      <c r="B113" s="185" t="s">
        <v>1834</v>
      </c>
      <c r="C113" s="185"/>
      <c r="D113" s="185"/>
      <c r="E113" s="185"/>
      <c r="F113" s="185"/>
      <c r="G113" s="185"/>
      <c r="H113" s="185"/>
      <c r="J113" s="185" t="s">
        <v>1832</v>
      </c>
      <c r="K113" s="185"/>
      <c r="L113" s="185"/>
      <c r="M113" s="185"/>
      <c r="N113" s="185"/>
      <c r="O113" s="185"/>
      <c r="Q113" s="2449">
        <v>7.0000000000000007E-2</v>
      </c>
      <c r="R113" s="2449"/>
      <c r="AA113" s="593"/>
      <c r="AB113" s="593"/>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449">
        <v>0.03</v>
      </c>
      <c r="R114" s="2449"/>
      <c r="S114" s="314"/>
      <c r="T114" s="314"/>
      <c r="U114" s="314"/>
      <c r="AA114" s="593"/>
      <c r="AB114" s="593"/>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449">
        <v>0.03</v>
      </c>
      <c r="R115" s="2449"/>
      <c r="S115" s="314"/>
      <c r="T115" s="314"/>
      <c r="U115" s="314"/>
      <c r="AA115" s="593"/>
      <c r="AB115" s="593"/>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449">
        <v>0</v>
      </c>
      <c r="R116" s="2449"/>
      <c r="S116" s="314"/>
      <c r="T116" s="314"/>
      <c r="U116" s="314"/>
      <c r="AA116" s="593"/>
      <c r="AB116" s="593"/>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3"/>
      <c r="AB117" s="593"/>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449">
        <v>0.1</v>
      </c>
      <c r="R118" s="2449"/>
      <c r="S118" s="183"/>
      <c r="T118" s="183"/>
      <c r="U118" s="183"/>
      <c r="V118" s="306"/>
      <c r="W118" s="306"/>
      <c r="X118" s="186"/>
      <c r="AA118" s="593"/>
      <c r="AB118" s="593"/>
    </row>
    <row r="119" spans="1:28" s="299" customFormat="1" ht="11.45" customHeight="1">
      <c r="A119" s="185"/>
      <c r="B119" s="185"/>
      <c r="C119" s="185"/>
      <c r="D119" s="183"/>
      <c r="E119" s="183"/>
      <c r="F119" s="185" t="s">
        <v>2773</v>
      </c>
      <c r="G119" s="185"/>
      <c r="H119" s="183"/>
      <c r="I119" s="183"/>
      <c r="J119" s="185" t="s">
        <v>4046</v>
      </c>
      <c r="K119" s="185"/>
      <c r="L119" s="185"/>
      <c r="M119" s="185"/>
      <c r="N119" s="185"/>
      <c r="O119" s="185"/>
      <c r="P119" s="183"/>
      <c r="Q119" s="2455">
        <v>4000000</v>
      </c>
      <c r="R119" s="2455"/>
      <c r="S119" s="307"/>
      <c r="T119" s="307"/>
      <c r="U119" s="183"/>
      <c r="V119" s="308"/>
      <c r="W119" s="308"/>
      <c r="X119" s="308"/>
      <c r="AA119" s="593"/>
      <c r="AB119" s="593"/>
    </row>
    <row r="120" spans="1:28" ht="4.5" customHeight="1"/>
    <row r="121" spans="1:28">
      <c r="A121" s="304" t="s">
        <v>2942</v>
      </c>
      <c r="F121" s="185" t="s">
        <v>2687</v>
      </c>
      <c r="G121" s="185"/>
      <c r="H121" s="183"/>
      <c r="I121" s="183"/>
      <c r="J121" s="185" t="s">
        <v>2774</v>
      </c>
      <c r="K121" s="185"/>
      <c r="L121" s="185"/>
      <c r="M121" s="185"/>
      <c r="N121" s="185"/>
      <c r="O121" s="185"/>
      <c r="P121" s="183"/>
      <c r="Q121" s="2449">
        <v>0.35</v>
      </c>
      <c r="R121" s="2449"/>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449" t="s">
        <v>2944</v>
      </c>
      <c r="R122" s="2449"/>
      <c r="S122" s="183"/>
      <c r="T122" s="183"/>
      <c r="U122" s="183"/>
      <c r="V122" s="306"/>
      <c r="W122" s="306"/>
      <c r="X122" s="186"/>
      <c r="AA122" s="593"/>
      <c r="AB122" s="593"/>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7"/>
      <c r="W123" s="1337"/>
      <c r="X123" s="186"/>
      <c r="AA123" s="593"/>
      <c r="AB123" s="593"/>
    </row>
    <row r="124" spans="1:28" s="299" customFormat="1" ht="12.75" customHeight="1">
      <c r="A124" s="304" t="s">
        <v>4146</v>
      </c>
      <c r="B124" s="185"/>
      <c r="C124" s="185"/>
      <c r="D124" s="183"/>
      <c r="E124" s="183"/>
      <c r="F124" s="185" t="s">
        <v>4149</v>
      </c>
      <c r="G124" s="185"/>
      <c r="H124" s="183"/>
      <c r="I124" s="183"/>
      <c r="J124" s="185" t="s">
        <v>4150</v>
      </c>
      <c r="K124" s="185"/>
      <c r="L124" s="185"/>
      <c r="M124" s="185"/>
      <c r="N124" s="185"/>
      <c r="O124" s="185"/>
      <c r="P124" s="183"/>
      <c r="Q124" s="2449">
        <v>0.05</v>
      </c>
      <c r="R124" s="2449"/>
      <c r="S124" s="183"/>
      <c r="T124" s="183"/>
      <c r="U124" s="183"/>
      <c r="V124" s="1337"/>
      <c r="W124" s="1337"/>
      <c r="X124" s="186"/>
      <c r="AA124" s="593"/>
      <c r="AB124" s="593"/>
    </row>
    <row r="125" spans="1:28" s="299" customFormat="1" ht="12.75" customHeight="1">
      <c r="A125" s="304"/>
      <c r="B125" s="185"/>
      <c r="C125" s="185"/>
      <c r="D125" s="183"/>
      <c r="E125" s="183"/>
      <c r="F125" s="185"/>
      <c r="G125" s="185" t="s">
        <v>4147</v>
      </c>
      <c r="H125" s="183"/>
      <c r="I125" s="183"/>
      <c r="J125" s="185" t="s">
        <v>4151</v>
      </c>
      <c r="K125" s="185"/>
      <c r="L125" s="185"/>
      <c r="M125" s="185"/>
      <c r="N125" s="185"/>
      <c r="O125" s="185"/>
      <c r="P125" s="183"/>
      <c r="Q125" s="2449">
        <v>0.4</v>
      </c>
      <c r="R125" s="2449"/>
      <c r="S125" s="183"/>
      <c r="T125" s="183"/>
      <c r="U125" s="183"/>
      <c r="V125" s="1337"/>
      <c r="W125" s="1337"/>
      <c r="X125" s="186"/>
      <c r="AA125" s="593"/>
      <c r="AB125" s="593"/>
    </row>
    <row r="126" spans="1:28" s="299" customFormat="1" ht="12.75" customHeight="1">
      <c r="A126" s="304"/>
      <c r="B126" s="185"/>
      <c r="C126" s="185"/>
      <c r="D126" s="183"/>
      <c r="E126" s="183"/>
      <c r="F126" s="185" t="s">
        <v>4148</v>
      </c>
      <c r="G126" s="185"/>
      <c r="H126" s="183"/>
      <c r="I126" s="183"/>
      <c r="J126" s="185" t="s">
        <v>4150</v>
      </c>
      <c r="K126" s="185"/>
      <c r="L126" s="185"/>
      <c r="M126" s="185"/>
      <c r="N126" s="185"/>
      <c r="O126" s="185"/>
      <c r="P126" s="183"/>
      <c r="Q126" s="2449">
        <v>0.02</v>
      </c>
      <c r="R126" s="2449"/>
      <c r="S126" s="183"/>
      <c r="T126" s="183"/>
      <c r="U126" s="183"/>
      <c r="V126" s="1337"/>
      <c r="W126" s="1337"/>
      <c r="X126" s="186"/>
      <c r="AA126" s="593"/>
      <c r="AB126" s="593"/>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7"/>
      <c r="W127" s="1337"/>
      <c r="X127" s="186"/>
      <c r="AA127" s="593"/>
      <c r="AB127" s="593"/>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1">
        <v>2015</v>
      </c>
      <c r="E139" s="314"/>
      <c r="F139" s="314"/>
    </row>
    <row r="140" spans="3:27" ht="48" customHeight="1">
      <c r="C140" s="565" t="s">
        <v>1326</v>
      </c>
      <c r="D140" s="421" t="s">
        <v>1072</v>
      </c>
      <c r="E140" s="314"/>
      <c r="F140" s="674" t="s">
        <v>1865</v>
      </c>
      <c r="G140" s="674" t="s">
        <v>1253</v>
      </c>
      <c r="H140" s="674" t="s">
        <v>1254</v>
      </c>
      <c r="I140" s="675" t="s">
        <v>1255</v>
      </c>
      <c r="J140" s="675" t="s">
        <v>1192</v>
      </c>
      <c r="K140" s="674" t="s">
        <v>439</v>
      </c>
      <c r="L140" s="676" t="s">
        <v>1199</v>
      </c>
      <c r="M140" s="676" t="s">
        <v>2884</v>
      </c>
      <c r="N140" s="674" t="s">
        <v>2487</v>
      </c>
      <c r="O140" s="674"/>
      <c r="P140" s="185"/>
      <c r="Q140" s="433"/>
      <c r="R140" s="677" t="s">
        <v>642</v>
      </c>
      <c r="S140" s="678" t="s">
        <v>643</v>
      </c>
      <c r="U140" s="771" t="s">
        <v>3593</v>
      </c>
      <c r="X140" s="485"/>
      <c r="Y140" s="485"/>
    </row>
    <row r="141" spans="3:27" ht="10.5" customHeight="1">
      <c r="C141" s="419" t="s">
        <v>1848</v>
      </c>
      <c r="D141" s="501">
        <v>45900</v>
      </c>
      <c r="E141" s="314"/>
      <c r="F141" s="314" t="s">
        <v>870</v>
      </c>
      <c r="G141" s="433" t="s">
        <v>1256</v>
      </c>
      <c r="H141" s="433" t="s">
        <v>1257</v>
      </c>
      <c r="I141" s="679" t="s">
        <v>1258</v>
      </c>
      <c r="J141" s="679" t="s">
        <v>2700</v>
      </c>
      <c r="K141" s="687" t="s">
        <v>1200</v>
      </c>
      <c r="L141" s="688" t="s">
        <v>437</v>
      </c>
      <c r="M141" s="689" t="s">
        <v>2687</v>
      </c>
      <c r="N141" s="680" t="s">
        <v>1579</v>
      </c>
      <c r="O141" s="325"/>
      <c r="P141" s="185"/>
      <c r="Q141" s="433"/>
      <c r="R141" s="581" t="s">
        <v>2488</v>
      </c>
      <c r="S141" s="581" t="s">
        <v>2025</v>
      </c>
      <c r="U141" s="485" t="s">
        <v>2488</v>
      </c>
      <c r="V141" s="485" t="s">
        <v>3594</v>
      </c>
      <c r="X141" s="485"/>
      <c r="Y141" s="485"/>
      <c r="AA141" s="1332"/>
    </row>
    <row r="142" spans="3:27" ht="10.5" customHeight="1">
      <c r="C142" s="419" t="s">
        <v>1258</v>
      </c>
      <c r="D142" s="501">
        <v>44400</v>
      </c>
      <c r="E142" s="314"/>
      <c r="F142" s="314" t="s">
        <v>871</v>
      </c>
      <c r="G142" s="433" t="s">
        <v>1843</v>
      </c>
      <c r="H142" s="433" t="s">
        <v>1257</v>
      </c>
      <c r="I142" s="679" t="s">
        <v>1844</v>
      </c>
      <c r="J142" s="679" t="s">
        <v>2700</v>
      </c>
      <c r="K142" s="687" t="s">
        <v>1201</v>
      </c>
      <c r="L142" s="688" t="s">
        <v>437</v>
      </c>
      <c r="M142" s="689" t="s">
        <v>2687</v>
      </c>
      <c r="N142" s="680" t="s">
        <v>1581</v>
      </c>
      <c r="O142" s="325"/>
      <c r="P142" s="185"/>
      <c r="Q142" s="433"/>
      <c r="R142" s="581" t="s">
        <v>1580</v>
      </c>
      <c r="S142" s="581" t="s">
        <v>2572</v>
      </c>
      <c r="U142" s="485" t="s">
        <v>1580</v>
      </c>
      <c r="V142" s="485" t="s">
        <v>3594</v>
      </c>
      <c r="X142" s="485"/>
      <c r="Y142" s="485"/>
      <c r="AA142" s="1332"/>
    </row>
    <row r="143" spans="3:27" ht="10.5" customHeight="1">
      <c r="C143" s="419" t="s">
        <v>1073</v>
      </c>
      <c r="D143" s="501">
        <v>56600</v>
      </c>
      <c r="E143" s="314"/>
      <c r="F143" s="314" t="s">
        <v>872</v>
      </c>
      <c r="G143" s="433" t="s">
        <v>1845</v>
      </c>
      <c r="H143" s="433" t="s">
        <v>1257</v>
      </c>
      <c r="I143" s="679" t="s">
        <v>1846</v>
      </c>
      <c r="J143" s="679" t="s">
        <v>2700</v>
      </c>
      <c r="K143" s="687" t="s">
        <v>1202</v>
      </c>
      <c r="L143" s="688" t="s">
        <v>437</v>
      </c>
      <c r="M143" s="689" t="s">
        <v>2687</v>
      </c>
      <c r="N143" s="680" t="s">
        <v>479</v>
      </c>
      <c r="O143" s="325"/>
      <c r="P143" s="185"/>
      <c r="Q143" s="433"/>
      <c r="R143" s="581" t="s">
        <v>978</v>
      </c>
      <c r="S143" s="581" t="s">
        <v>1363</v>
      </c>
      <c r="U143" s="485" t="s">
        <v>978</v>
      </c>
      <c r="V143" s="485" t="s">
        <v>3594</v>
      </c>
      <c r="X143" s="485"/>
      <c r="Y143" s="485"/>
      <c r="AA143" s="1332"/>
    </row>
    <row r="144" spans="3:27" ht="10.5" customHeight="1">
      <c r="C144" s="419" t="s">
        <v>1844</v>
      </c>
      <c r="D144" s="501">
        <v>36800</v>
      </c>
      <c r="E144" s="314"/>
      <c r="F144" s="314" t="s">
        <v>873</v>
      </c>
      <c r="G144" s="433" t="s">
        <v>1847</v>
      </c>
      <c r="H144" s="433" t="s">
        <v>1257</v>
      </c>
      <c r="I144" s="681" t="s">
        <v>1848</v>
      </c>
      <c r="J144" s="681" t="s">
        <v>2701</v>
      </c>
      <c r="K144" s="687" t="s">
        <v>1203</v>
      </c>
      <c r="L144" s="688" t="s">
        <v>438</v>
      </c>
      <c r="M144" s="689" t="s">
        <v>1239</v>
      </c>
      <c r="N144" s="680" t="s">
        <v>2158</v>
      </c>
      <c r="O144" s="325"/>
      <c r="P144" s="185"/>
      <c r="Q144" s="433"/>
      <c r="R144" s="581" t="s">
        <v>480</v>
      </c>
      <c r="S144" s="581" t="s">
        <v>2617</v>
      </c>
      <c r="U144" s="485" t="s">
        <v>2159</v>
      </c>
      <c r="V144" s="485" t="s">
        <v>3594</v>
      </c>
      <c r="X144" s="485"/>
      <c r="Y144" s="485"/>
      <c r="AA144" s="1332"/>
    </row>
    <row r="145" spans="3:27" ht="10.5" customHeight="1">
      <c r="C145" s="419" t="s">
        <v>795</v>
      </c>
      <c r="D145" s="501">
        <v>68300</v>
      </c>
      <c r="E145" s="314"/>
      <c r="F145" s="314" t="s">
        <v>874</v>
      </c>
      <c r="G145" s="433" t="s">
        <v>1849</v>
      </c>
      <c r="H145" s="433" t="s">
        <v>1384</v>
      </c>
      <c r="I145" s="681" t="s">
        <v>161</v>
      </c>
      <c r="J145" s="681" t="s">
        <v>2700</v>
      </c>
      <c r="K145" s="687" t="s">
        <v>1204</v>
      </c>
      <c r="L145" s="688" t="s">
        <v>437</v>
      </c>
      <c r="M145" s="689" t="s">
        <v>2687</v>
      </c>
      <c r="N145" s="680" t="s">
        <v>2160</v>
      </c>
      <c r="O145" s="325"/>
      <c r="P145" s="185"/>
      <c r="Q145" s="433"/>
      <c r="R145" s="581" t="s">
        <v>2159</v>
      </c>
      <c r="S145" s="581" t="s">
        <v>345</v>
      </c>
      <c r="U145" s="485" t="s">
        <v>2163</v>
      </c>
      <c r="V145" s="485" t="s">
        <v>3594</v>
      </c>
      <c r="X145" s="485"/>
      <c r="Y145" s="485"/>
      <c r="AA145" s="1332"/>
    </row>
    <row r="146" spans="3:27" ht="10.5" customHeight="1">
      <c r="C146" s="419" t="s">
        <v>796</v>
      </c>
      <c r="D146" s="501">
        <v>59100</v>
      </c>
      <c r="E146" s="314"/>
      <c r="F146" s="314" t="s">
        <v>875</v>
      </c>
      <c r="G146" s="433" t="s">
        <v>1359</v>
      </c>
      <c r="H146" s="433" t="s">
        <v>1360</v>
      </c>
      <c r="I146" s="679" t="s">
        <v>1361</v>
      </c>
      <c r="J146" s="679" t="s">
        <v>2700</v>
      </c>
      <c r="K146" s="687" t="s">
        <v>1892</v>
      </c>
      <c r="L146" s="688" t="s">
        <v>437</v>
      </c>
      <c r="M146" s="689" t="s">
        <v>2687</v>
      </c>
      <c r="N146" s="680" t="s">
        <v>2162</v>
      </c>
      <c r="O146" s="325"/>
      <c r="P146" s="185"/>
      <c r="Q146" s="433"/>
      <c r="R146" s="581" t="s">
        <v>2161</v>
      </c>
      <c r="S146" s="581" t="s">
        <v>189</v>
      </c>
      <c r="U146" s="485" t="s">
        <v>1848</v>
      </c>
      <c r="V146" s="485" t="s">
        <v>3594</v>
      </c>
      <c r="X146" s="485"/>
      <c r="Y146" s="485"/>
      <c r="AA146" s="1332"/>
    </row>
    <row r="147" spans="3:27" ht="10.5" customHeight="1">
      <c r="C147" s="419" t="s">
        <v>1846</v>
      </c>
      <c r="D147" s="501">
        <v>46700</v>
      </c>
      <c r="E147" s="314"/>
      <c r="F147" s="314" t="s">
        <v>876</v>
      </c>
      <c r="G147" s="433" t="s">
        <v>1362</v>
      </c>
      <c r="H147" s="433" t="s">
        <v>1384</v>
      </c>
      <c r="I147" s="681" t="s">
        <v>795</v>
      </c>
      <c r="J147" s="681" t="s">
        <v>2701</v>
      </c>
      <c r="K147" s="687" t="s">
        <v>2664</v>
      </c>
      <c r="L147" s="688" t="s">
        <v>438</v>
      </c>
      <c r="M147" s="689" t="s">
        <v>1239</v>
      </c>
      <c r="N147" s="680" t="s">
        <v>2164</v>
      </c>
      <c r="O147" s="325"/>
      <c r="P147" s="185"/>
      <c r="Q147" s="433"/>
      <c r="R147" s="581" t="s">
        <v>2163</v>
      </c>
      <c r="S147" s="581" t="s">
        <v>114</v>
      </c>
      <c r="U147" s="485" t="s">
        <v>461</v>
      </c>
      <c r="V147" s="485" t="s">
        <v>3594</v>
      </c>
      <c r="X147" s="485"/>
      <c r="Y147" s="485"/>
      <c r="AA147" s="1332"/>
    </row>
    <row r="148" spans="3:27" ht="10.5" customHeight="1">
      <c r="C148" s="419" t="s">
        <v>161</v>
      </c>
      <c r="D148" s="501">
        <v>51700</v>
      </c>
      <c r="E148" s="314"/>
      <c r="F148" s="314" t="s">
        <v>877</v>
      </c>
      <c r="G148" s="433" t="s">
        <v>1363</v>
      </c>
      <c r="H148" s="433" t="s">
        <v>1360</v>
      </c>
      <c r="I148" s="681" t="s">
        <v>795</v>
      </c>
      <c r="J148" s="681" t="s">
        <v>2701</v>
      </c>
      <c r="K148" s="687" t="s">
        <v>2664</v>
      </c>
      <c r="L148" s="688" t="s">
        <v>438</v>
      </c>
      <c r="M148" s="689" t="s">
        <v>1239</v>
      </c>
      <c r="N148" s="680" t="s">
        <v>2166</v>
      </c>
      <c r="O148" s="325"/>
      <c r="P148" s="185"/>
      <c r="Q148" s="433"/>
      <c r="R148" s="581" t="s">
        <v>2165</v>
      </c>
      <c r="S148" s="581" t="s">
        <v>1366</v>
      </c>
      <c r="U148" s="485" t="s">
        <v>463</v>
      </c>
      <c r="V148" s="485" t="s">
        <v>3594</v>
      </c>
      <c r="X148" s="485"/>
      <c r="Y148" s="485"/>
      <c r="AA148" s="1332"/>
    </row>
    <row r="149" spans="3:27" ht="10.5" customHeight="1">
      <c r="C149" s="419" t="s">
        <v>1361</v>
      </c>
      <c r="D149" s="501">
        <v>53600</v>
      </c>
      <c r="E149" s="314"/>
      <c r="F149" s="314" t="s">
        <v>878</v>
      </c>
      <c r="G149" s="433" t="s">
        <v>1364</v>
      </c>
      <c r="H149" s="433" t="s">
        <v>1257</v>
      </c>
      <c r="I149" s="679" t="s">
        <v>1365</v>
      </c>
      <c r="J149" s="679" t="s">
        <v>2700</v>
      </c>
      <c r="K149" s="687" t="s">
        <v>2665</v>
      </c>
      <c r="L149" s="688" t="s">
        <v>437</v>
      </c>
      <c r="M149" s="689" t="s">
        <v>2687</v>
      </c>
      <c r="N149" s="680" t="s">
        <v>2037</v>
      </c>
      <c r="O149" s="611"/>
      <c r="P149" s="185"/>
      <c r="Q149" s="433"/>
      <c r="R149" s="581" t="s">
        <v>1848</v>
      </c>
      <c r="S149" s="581" t="s">
        <v>989</v>
      </c>
      <c r="U149" s="485" t="s">
        <v>1918</v>
      </c>
      <c r="V149" s="485" t="s">
        <v>3594</v>
      </c>
      <c r="X149" s="485"/>
      <c r="Y149" s="485"/>
      <c r="AA149" s="1332"/>
    </row>
    <row r="150" spans="3:27" ht="10.5" customHeight="1">
      <c r="C150" s="420" t="s">
        <v>1076</v>
      </c>
      <c r="D150" s="501">
        <v>38600</v>
      </c>
      <c r="E150" s="314"/>
      <c r="F150" s="314" t="s">
        <v>879</v>
      </c>
      <c r="G150" s="433" t="s">
        <v>1366</v>
      </c>
      <c r="H150" s="433" t="s">
        <v>1257</v>
      </c>
      <c r="I150" s="679" t="s">
        <v>1367</v>
      </c>
      <c r="J150" s="679" t="s">
        <v>2700</v>
      </c>
      <c r="K150" s="687" t="s">
        <v>2666</v>
      </c>
      <c r="L150" s="688" t="s">
        <v>437</v>
      </c>
      <c r="M150" s="689" t="s">
        <v>2687</v>
      </c>
      <c r="N150" s="680" t="s">
        <v>185</v>
      </c>
      <c r="O150" s="611"/>
      <c r="P150" s="314"/>
      <c r="Q150" s="433"/>
      <c r="R150" s="581" t="s">
        <v>2038</v>
      </c>
      <c r="S150" s="581" t="s">
        <v>444</v>
      </c>
      <c r="U150" s="485" t="s">
        <v>2636</v>
      </c>
      <c r="V150" s="485" t="s">
        <v>3594</v>
      </c>
      <c r="X150" s="485"/>
      <c r="Y150" s="485"/>
      <c r="AA150" s="1332"/>
    </row>
    <row r="151" spans="3:27" ht="10.5" customHeight="1">
      <c r="C151" s="420" t="s">
        <v>1367</v>
      </c>
      <c r="D151" s="501">
        <v>42700</v>
      </c>
      <c r="E151" s="314"/>
      <c r="F151" s="314" t="s">
        <v>880</v>
      </c>
      <c r="G151" s="433" t="s">
        <v>1368</v>
      </c>
      <c r="H151" s="433" t="s">
        <v>1384</v>
      </c>
      <c r="I151" s="681" t="s">
        <v>1369</v>
      </c>
      <c r="J151" s="681" t="s">
        <v>2701</v>
      </c>
      <c r="K151" s="687" t="s">
        <v>2667</v>
      </c>
      <c r="L151" s="688" t="s">
        <v>438</v>
      </c>
      <c r="M151" s="689" t="s">
        <v>1239</v>
      </c>
      <c r="N151" s="680" t="s">
        <v>187</v>
      </c>
      <c r="O151" s="611"/>
      <c r="P151" s="185"/>
      <c r="Q151" s="433"/>
      <c r="R151" s="581" t="s">
        <v>186</v>
      </c>
      <c r="S151" s="581" t="s">
        <v>1512</v>
      </c>
      <c r="U151" s="485" t="s">
        <v>2642</v>
      </c>
      <c r="V151" s="485" t="s">
        <v>3594</v>
      </c>
      <c r="X151" s="485"/>
      <c r="Y151" s="485"/>
      <c r="AA151" s="1332"/>
    </row>
    <row r="152" spans="3:27" ht="10.5" customHeight="1">
      <c r="C152" s="420" t="s">
        <v>1371</v>
      </c>
      <c r="D152" s="501">
        <v>58800</v>
      </c>
      <c r="E152" s="314"/>
      <c r="F152" s="314" t="s">
        <v>881</v>
      </c>
      <c r="G152" s="433" t="s">
        <v>1370</v>
      </c>
      <c r="H152" s="433" t="s">
        <v>1257</v>
      </c>
      <c r="I152" s="681" t="s">
        <v>1371</v>
      </c>
      <c r="J152" s="681" t="s">
        <v>2700</v>
      </c>
      <c r="K152" s="687" t="s">
        <v>2668</v>
      </c>
      <c r="L152" s="688" t="s">
        <v>437</v>
      </c>
      <c r="M152" s="689" t="s">
        <v>2687</v>
      </c>
      <c r="N152" s="680" t="s">
        <v>460</v>
      </c>
      <c r="O152" s="325"/>
      <c r="P152" s="185"/>
      <c r="Q152" s="433"/>
      <c r="R152" s="581" t="s">
        <v>188</v>
      </c>
      <c r="S152" s="581" t="s">
        <v>2484</v>
      </c>
      <c r="U152" s="485" t="s">
        <v>2647</v>
      </c>
      <c r="V152" s="485" t="s">
        <v>3594</v>
      </c>
      <c r="X152" s="485"/>
      <c r="Y152" s="485"/>
      <c r="AA152" s="1332"/>
    </row>
    <row r="153" spans="3:27" ht="10.5" customHeight="1">
      <c r="C153" s="419" t="s">
        <v>12</v>
      </c>
      <c r="D153" s="501">
        <v>55300</v>
      </c>
      <c r="E153" s="314"/>
      <c r="F153" s="314" t="s">
        <v>882</v>
      </c>
      <c r="G153" s="433" t="s">
        <v>1372</v>
      </c>
      <c r="H153" s="433" t="s">
        <v>1257</v>
      </c>
      <c r="I153" s="679" t="s">
        <v>12</v>
      </c>
      <c r="J153" s="679" t="s">
        <v>2701</v>
      </c>
      <c r="K153" s="687" t="s">
        <v>2669</v>
      </c>
      <c r="L153" s="688" t="s">
        <v>438</v>
      </c>
      <c r="M153" s="689" t="s">
        <v>1239</v>
      </c>
      <c r="N153" s="680" t="s">
        <v>462</v>
      </c>
      <c r="O153" s="325"/>
      <c r="P153" s="185"/>
      <c r="Q153" s="433"/>
      <c r="R153" s="581" t="s">
        <v>461</v>
      </c>
      <c r="S153" s="581" t="s">
        <v>1845</v>
      </c>
      <c r="U153" s="485" t="s">
        <v>171</v>
      </c>
      <c r="V153" s="485" t="s">
        <v>3594</v>
      </c>
      <c r="X153" s="485"/>
      <c r="Y153" s="485"/>
      <c r="AA153" s="1332"/>
    </row>
    <row r="154" spans="3:27" ht="10.5" customHeight="1">
      <c r="C154" s="420" t="s">
        <v>1377</v>
      </c>
      <c r="D154" s="501">
        <v>51700</v>
      </c>
      <c r="E154" s="314"/>
      <c r="F154" s="314" t="s">
        <v>883</v>
      </c>
      <c r="G154" s="433" t="s">
        <v>1373</v>
      </c>
      <c r="H154" s="433" t="s">
        <v>1257</v>
      </c>
      <c r="I154" s="679" t="s">
        <v>1760</v>
      </c>
      <c r="J154" s="679" t="s">
        <v>2701</v>
      </c>
      <c r="K154" s="687" t="s">
        <v>2670</v>
      </c>
      <c r="L154" s="688" t="s">
        <v>438</v>
      </c>
      <c r="M154" s="689" t="s">
        <v>1239</v>
      </c>
      <c r="N154" s="680" t="s">
        <v>464</v>
      </c>
      <c r="O154" s="325"/>
      <c r="P154" s="185"/>
      <c r="Q154" s="433"/>
      <c r="R154" s="581" t="s">
        <v>463</v>
      </c>
      <c r="S154" s="581" t="s">
        <v>1252</v>
      </c>
      <c r="U154" s="485" t="s">
        <v>1251</v>
      </c>
      <c r="V154" s="485" t="s">
        <v>3594</v>
      </c>
      <c r="X154" s="485"/>
      <c r="Y154" s="485"/>
      <c r="AA154" s="1332"/>
    </row>
    <row r="155" spans="3:27" ht="10.5" customHeight="1">
      <c r="C155" s="419" t="s">
        <v>1074</v>
      </c>
      <c r="D155" s="501">
        <v>64700</v>
      </c>
      <c r="E155" s="314"/>
      <c r="F155" s="314" t="s">
        <v>884</v>
      </c>
      <c r="G155" s="433" t="s">
        <v>1374</v>
      </c>
      <c r="H155" s="433" t="s">
        <v>1257</v>
      </c>
      <c r="I155" s="681" t="s">
        <v>1375</v>
      </c>
      <c r="J155" s="681" t="s">
        <v>2701</v>
      </c>
      <c r="K155" s="687" t="s">
        <v>1519</v>
      </c>
      <c r="L155" s="688" t="s">
        <v>438</v>
      </c>
      <c r="M155" s="689" t="s">
        <v>1239</v>
      </c>
      <c r="N155" s="680" t="s">
        <v>466</v>
      </c>
      <c r="O155" s="325"/>
      <c r="P155" s="185"/>
      <c r="Q155" s="433"/>
      <c r="R155" s="581" t="s">
        <v>465</v>
      </c>
      <c r="S155" s="581" t="s">
        <v>189</v>
      </c>
      <c r="U155" s="485" t="s">
        <v>2149</v>
      </c>
      <c r="V155" s="485" t="s">
        <v>3594</v>
      </c>
      <c r="X155" s="485"/>
      <c r="Y155" s="485"/>
      <c r="AA155" s="1332"/>
    </row>
    <row r="156" spans="3:27" ht="10.5" customHeight="1">
      <c r="C156" s="420" t="s">
        <v>1382</v>
      </c>
      <c r="D156" s="501">
        <v>46300</v>
      </c>
      <c r="E156" s="314"/>
      <c r="F156" s="314" t="s">
        <v>885</v>
      </c>
      <c r="G156" s="433" t="s">
        <v>1376</v>
      </c>
      <c r="H156" s="433" t="s">
        <v>1257</v>
      </c>
      <c r="I156" s="681" t="s">
        <v>1377</v>
      </c>
      <c r="J156" s="681" t="s">
        <v>2700</v>
      </c>
      <c r="K156" s="687" t="s">
        <v>2685</v>
      </c>
      <c r="L156" s="688" t="s">
        <v>437</v>
      </c>
      <c r="M156" s="689" t="s">
        <v>2687</v>
      </c>
      <c r="N156" s="680" t="s">
        <v>2342</v>
      </c>
      <c r="O156" s="325"/>
      <c r="P156" s="185"/>
      <c r="Q156" s="433"/>
      <c r="R156" s="581" t="s">
        <v>467</v>
      </c>
      <c r="S156" s="581" t="s">
        <v>124</v>
      </c>
      <c r="U156" s="485" t="s">
        <v>1379</v>
      </c>
      <c r="V156" s="485" t="s">
        <v>3594</v>
      </c>
      <c r="X156" s="485"/>
      <c r="Y156" s="485"/>
      <c r="AA156" s="1332"/>
    </row>
    <row r="157" spans="3:27" ht="10.5" customHeight="1">
      <c r="C157" s="420" t="s">
        <v>760</v>
      </c>
      <c r="D157" s="501">
        <v>65400</v>
      </c>
      <c r="E157" s="314"/>
      <c r="F157" s="314" t="s">
        <v>886</v>
      </c>
      <c r="G157" s="433" t="s">
        <v>1378</v>
      </c>
      <c r="H157" s="433" t="s">
        <v>1384</v>
      </c>
      <c r="I157" s="681" t="s">
        <v>796</v>
      </c>
      <c r="J157" s="681" t="s">
        <v>2701</v>
      </c>
      <c r="K157" s="687" t="s">
        <v>2686</v>
      </c>
      <c r="L157" s="688" t="s">
        <v>438</v>
      </c>
      <c r="M157" s="689" t="s">
        <v>1239</v>
      </c>
      <c r="N157" s="680" t="s">
        <v>2344</v>
      </c>
      <c r="O157" s="325"/>
      <c r="P157" s="185"/>
      <c r="Q157" s="433"/>
      <c r="R157" s="581" t="s">
        <v>2343</v>
      </c>
      <c r="S157" s="581" t="s">
        <v>2573</v>
      </c>
      <c r="U157" s="485" t="s">
        <v>2152</v>
      </c>
      <c r="V157" s="485" t="s">
        <v>3594</v>
      </c>
      <c r="X157" s="485"/>
      <c r="Y157" s="485"/>
      <c r="AA157" s="1332"/>
    </row>
    <row r="158" spans="3:27" ht="10.5" customHeight="1">
      <c r="C158" s="420" t="s">
        <v>762</v>
      </c>
      <c r="D158" s="501">
        <v>41900</v>
      </c>
      <c r="E158" s="314"/>
      <c r="F158" s="314" t="s">
        <v>887</v>
      </c>
      <c r="G158" s="433" t="s">
        <v>1380</v>
      </c>
      <c r="H158" s="433" t="s">
        <v>1384</v>
      </c>
      <c r="I158" s="681" t="s">
        <v>1074</v>
      </c>
      <c r="J158" s="681" t="s">
        <v>2701</v>
      </c>
      <c r="K158" s="687" t="s">
        <v>1304</v>
      </c>
      <c r="L158" s="688" t="s">
        <v>438</v>
      </c>
      <c r="M158" s="689" t="s">
        <v>1239</v>
      </c>
      <c r="N158" s="680" t="s">
        <v>382</v>
      </c>
      <c r="O158" s="325"/>
      <c r="P158" s="185"/>
      <c r="Q158" s="433"/>
      <c r="R158" s="581" t="s">
        <v>1918</v>
      </c>
      <c r="S158" s="581" t="s">
        <v>2256</v>
      </c>
      <c r="U158" s="485" t="s">
        <v>2185</v>
      </c>
      <c r="V158" s="485" t="s">
        <v>3594</v>
      </c>
      <c r="X158" s="485"/>
      <c r="Y158" s="485"/>
      <c r="AA158" s="1332"/>
    </row>
    <row r="159" spans="3:27" ht="10.5" customHeight="1">
      <c r="C159" s="419" t="s">
        <v>163</v>
      </c>
      <c r="D159" s="501">
        <v>51000</v>
      </c>
      <c r="E159" s="314"/>
      <c r="F159" s="314" t="s">
        <v>888</v>
      </c>
      <c r="G159" s="433" t="s">
        <v>1381</v>
      </c>
      <c r="H159" s="433" t="s">
        <v>1257</v>
      </c>
      <c r="I159" s="679" t="s">
        <v>1382</v>
      </c>
      <c r="J159" s="679" t="s">
        <v>2700</v>
      </c>
      <c r="K159" s="687" t="s">
        <v>1305</v>
      </c>
      <c r="L159" s="688" t="s">
        <v>437</v>
      </c>
      <c r="M159" s="689" t="s">
        <v>2687</v>
      </c>
      <c r="N159" s="680" t="s">
        <v>384</v>
      </c>
      <c r="O159" s="325"/>
      <c r="P159" s="185"/>
      <c r="Q159" s="433"/>
      <c r="R159" s="581" t="s">
        <v>383</v>
      </c>
      <c r="S159" s="581" t="s">
        <v>2256</v>
      </c>
      <c r="U159" s="485" t="s">
        <v>2189</v>
      </c>
      <c r="V159" s="485" t="s">
        <v>3594</v>
      </c>
      <c r="X159" s="485"/>
      <c r="Y159" s="485"/>
      <c r="AA159" s="1332"/>
    </row>
    <row r="160" spans="3:27" ht="10.5" customHeight="1">
      <c r="C160" s="419" t="s">
        <v>1578</v>
      </c>
      <c r="D160" s="501">
        <v>59000</v>
      </c>
      <c r="E160" s="314"/>
      <c r="F160" s="314" t="s">
        <v>889</v>
      </c>
      <c r="G160" s="433" t="s">
        <v>1383</v>
      </c>
      <c r="H160" s="433" t="s">
        <v>1257</v>
      </c>
      <c r="I160" s="681" t="s">
        <v>760</v>
      </c>
      <c r="J160" s="681" t="s">
        <v>2700</v>
      </c>
      <c r="K160" s="687" t="s">
        <v>1306</v>
      </c>
      <c r="L160" s="688" t="s">
        <v>437</v>
      </c>
      <c r="M160" s="689" t="s">
        <v>2687</v>
      </c>
      <c r="N160" s="680" t="s">
        <v>2633</v>
      </c>
      <c r="O160" s="325"/>
      <c r="P160" s="185"/>
      <c r="Q160" s="433"/>
      <c r="R160" s="581" t="s">
        <v>1256</v>
      </c>
      <c r="S160" s="581" t="s">
        <v>2616</v>
      </c>
      <c r="U160" s="485" t="s">
        <v>1849</v>
      </c>
      <c r="V160" s="485" t="s">
        <v>3594</v>
      </c>
      <c r="X160" s="485"/>
      <c r="Y160" s="485"/>
      <c r="AA160" s="1332"/>
    </row>
    <row r="161" spans="3:27" ht="10.5" customHeight="1">
      <c r="C161" s="419" t="s">
        <v>168</v>
      </c>
      <c r="D161" s="501">
        <v>43000</v>
      </c>
      <c r="E161" s="314"/>
      <c r="F161" s="314" t="s">
        <v>890</v>
      </c>
      <c r="G161" s="433" t="s">
        <v>761</v>
      </c>
      <c r="H161" s="433" t="s">
        <v>1257</v>
      </c>
      <c r="I161" s="679" t="s">
        <v>762</v>
      </c>
      <c r="J161" s="679" t="s">
        <v>2700</v>
      </c>
      <c r="K161" s="687" t="s">
        <v>1775</v>
      </c>
      <c r="L161" s="688" t="s">
        <v>437</v>
      </c>
      <c r="M161" s="689" t="s">
        <v>2687</v>
      </c>
      <c r="N161" s="680" t="s">
        <v>2635</v>
      </c>
      <c r="O161" s="325"/>
      <c r="P161" s="185"/>
      <c r="Q161" s="433"/>
      <c r="R161" s="581" t="s">
        <v>2634</v>
      </c>
      <c r="S161" s="581" t="s">
        <v>2621</v>
      </c>
      <c r="U161" s="485" t="s">
        <v>1043</v>
      </c>
      <c r="V161" s="485" t="s">
        <v>3594</v>
      </c>
      <c r="X161" s="485"/>
      <c r="Y161" s="485"/>
      <c r="AA161" s="1332"/>
    </row>
    <row r="162" spans="3:27" ht="10.5" customHeight="1">
      <c r="C162" s="419" t="s">
        <v>2568</v>
      </c>
      <c r="D162" s="501">
        <v>29400</v>
      </c>
      <c r="E162" s="314"/>
      <c r="F162" s="314" t="s">
        <v>891</v>
      </c>
      <c r="G162" s="433" t="s">
        <v>763</v>
      </c>
      <c r="H162" s="433" t="s">
        <v>1384</v>
      </c>
      <c r="I162" s="681" t="s">
        <v>795</v>
      </c>
      <c r="J162" s="681" t="s">
        <v>2701</v>
      </c>
      <c r="K162" s="687" t="s">
        <v>2664</v>
      </c>
      <c r="L162" s="688" t="s">
        <v>438</v>
      </c>
      <c r="M162" s="689" t="s">
        <v>1239</v>
      </c>
      <c r="N162" s="680" t="s">
        <v>2637</v>
      </c>
      <c r="O162" s="325"/>
      <c r="P162" s="185"/>
      <c r="Q162" s="433"/>
      <c r="R162" s="581" t="s">
        <v>2636</v>
      </c>
      <c r="S162" s="581" t="s">
        <v>1135</v>
      </c>
      <c r="U162" s="485" t="s">
        <v>2530</v>
      </c>
      <c r="V162" s="485" t="s">
        <v>3594</v>
      </c>
      <c r="X162" s="485"/>
      <c r="Y162" s="485"/>
      <c r="AA162" s="1332"/>
    </row>
    <row r="163" spans="3:27" ht="10.5" customHeight="1">
      <c r="C163" s="420" t="s">
        <v>2571</v>
      </c>
      <c r="D163" s="501">
        <v>47100</v>
      </c>
      <c r="E163" s="314"/>
      <c r="F163" s="314" t="s">
        <v>892</v>
      </c>
      <c r="G163" s="433" t="s">
        <v>1577</v>
      </c>
      <c r="H163" s="433" t="s">
        <v>1360</v>
      </c>
      <c r="I163" s="681" t="s">
        <v>1578</v>
      </c>
      <c r="J163" s="681" t="s">
        <v>2701</v>
      </c>
      <c r="K163" s="687" t="s">
        <v>1744</v>
      </c>
      <c r="L163" s="688" t="s">
        <v>438</v>
      </c>
      <c r="M163" s="689" t="s">
        <v>1239</v>
      </c>
      <c r="N163" s="680" t="s">
        <v>2639</v>
      </c>
      <c r="O163" s="325"/>
      <c r="P163" s="185"/>
      <c r="Q163" s="433"/>
      <c r="R163" s="581" t="s">
        <v>2638</v>
      </c>
      <c r="S163" s="581" t="s">
        <v>336</v>
      </c>
      <c r="U163" s="485" t="s">
        <v>2532</v>
      </c>
      <c r="V163" s="485" t="s">
        <v>3594</v>
      </c>
      <c r="X163" s="485"/>
      <c r="Y163" s="485"/>
      <c r="AA163" s="1332"/>
    </row>
    <row r="164" spans="3:27" ht="10.5" customHeight="1">
      <c r="C164" s="420" t="s">
        <v>2574</v>
      </c>
      <c r="D164" s="501">
        <v>42900</v>
      </c>
      <c r="E164" s="314"/>
      <c r="F164" s="314" t="s">
        <v>893</v>
      </c>
      <c r="G164" s="433" t="s">
        <v>162</v>
      </c>
      <c r="H164" s="433" t="s">
        <v>1257</v>
      </c>
      <c r="I164" s="679" t="s">
        <v>163</v>
      </c>
      <c r="J164" s="679" t="s">
        <v>2700</v>
      </c>
      <c r="K164" s="687" t="s">
        <v>1745</v>
      </c>
      <c r="L164" s="688" t="s">
        <v>437</v>
      </c>
      <c r="M164" s="689" t="s">
        <v>2687</v>
      </c>
      <c r="N164" s="680" t="s">
        <v>2641</v>
      </c>
      <c r="O164" s="325"/>
      <c r="P164" s="185"/>
      <c r="Q164" s="433"/>
      <c r="R164" s="581" t="s">
        <v>2640</v>
      </c>
      <c r="S164" s="581" t="s">
        <v>2570</v>
      </c>
      <c r="U164" s="485" t="s">
        <v>2534</v>
      </c>
      <c r="V164" s="485" t="s">
        <v>3594</v>
      </c>
      <c r="X164" s="485"/>
      <c r="Y164" s="485"/>
      <c r="AA164" s="1332"/>
    </row>
    <row r="165" spans="3:27" ht="10.5" customHeight="1">
      <c r="C165" s="420" t="s">
        <v>2615</v>
      </c>
      <c r="D165" s="501">
        <v>43700</v>
      </c>
      <c r="E165" s="314"/>
      <c r="F165" s="314" t="s">
        <v>894</v>
      </c>
      <c r="G165" s="433" t="s">
        <v>164</v>
      </c>
      <c r="H165" s="433" t="s">
        <v>1257</v>
      </c>
      <c r="I165" s="681" t="s">
        <v>1375</v>
      </c>
      <c r="J165" s="681" t="s">
        <v>2701</v>
      </c>
      <c r="K165" s="687" t="s">
        <v>1519</v>
      </c>
      <c r="L165" s="688" t="s">
        <v>438</v>
      </c>
      <c r="M165" s="689" t="s">
        <v>1239</v>
      </c>
      <c r="N165" s="680" t="s">
        <v>2643</v>
      </c>
      <c r="O165" s="325"/>
      <c r="P165" s="185"/>
      <c r="Q165" s="433"/>
      <c r="R165" s="581" t="s">
        <v>2642</v>
      </c>
      <c r="S165" s="581" t="s">
        <v>1381</v>
      </c>
      <c r="U165" s="485" t="s">
        <v>2537</v>
      </c>
      <c r="V165" s="485" t="s">
        <v>3594</v>
      </c>
      <c r="X165" s="485"/>
      <c r="Y165" s="485"/>
      <c r="AA165" s="1332"/>
    </row>
    <row r="166" spans="3:27" ht="10.5" customHeight="1">
      <c r="C166" s="419" t="s">
        <v>166</v>
      </c>
      <c r="D166" s="501">
        <v>58200</v>
      </c>
      <c r="E166" s="314"/>
      <c r="F166" s="314" t="s">
        <v>1391</v>
      </c>
      <c r="G166" s="433" t="s">
        <v>165</v>
      </c>
      <c r="H166" s="433" t="s">
        <v>1384</v>
      </c>
      <c r="I166" s="681" t="s">
        <v>166</v>
      </c>
      <c r="J166" s="681" t="s">
        <v>2701</v>
      </c>
      <c r="K166" s="687" t="s">
        <v>1746</v>
      </c>
      <c r="L166" s="688" t="s">
        <v>438</v>
      </c>
      <c r="M166" s="689" t="s">
        <v>1239</v>
      </c>
      <c r="N166" s="680" t="s">
        <v>2644</v>
      </c>
      <c r="O166" s="325"/>
      <c r="P166" s="185"/>
      <c r="Q166" s="433"/>
      <c r="R166" s="581" t="s">
        <v>2645</v>
      </c>
      <c r="S166" s="581" t="s">
        <v>2679</v>
      </c>
      <c r="U166" s="485" t="s">
        <v>2310</v>
      </c>
      <c r="V166" s="485" t="s">
        <v>3594</v>
      </c>
      <c r="X166" s="485"/>
      <c r="Y166" s="485"/>
      <c r="AA166" s="1332"/>
    </row>
    <row r="167" spans="3:27" ht="10.5" customHeight="1">
      <c r="C167" s="420" t="s">
        <v>2618</v>
      </c>
      <c r="D167" s="501">
        <v>50300</v>
      </c>
      <c r="E167" s="314"/>
      <c r="F167" s="314" t="s">
        <v>1392</v>
      </c>
      <c r="G167" s="433" t="s">
        <v>167</v>
      </c>
      <c r="H167" s="433" t="s">
        <v>1360</v>
      </c>
      <c r="I167" s="679" t="s">
        <v>168</v>
      </c>
      <c r="J167" s="679" t="s">
        <v>2700</v>
      </c>
      <c r="K167" s="687" t="s">
        <v>1747</v>
      </c>
      <c r="L167" s="688" t="s">
        <v>437</v>
      </c>
      <c r="M167" s="689" t="s">
        <v>2687</v>
      </c>
      <c r="N167" s="680" t="s">
        <v>2646</v>
      </c>
      <c r="O167" s="325"/>
      <c r="P167" s="185"/>
      <c r="Q167" s="433"/>
      <c r="R167" s="581" t="s">
        <v>2647</v>
      </c>
      <c r="S167" s="581" t="s">
        <v>1991</v>
      </c>
      <c r="U167" s="485" t="s">
        <v>2412</v>
      </c>
      <c r="V167" s="485" t="s">
        <v>3594</v>
      </c>
      <c r="X167" s="485"/>
      <c r="Y167" s="485"/>
      <c r="AA167" s="1332"/>
    </row>
    <row r="168" spans="3:27" ht="10.5" customHeight="1">
      <c r="C168" s="420" t="s">
        <v>199</v>
      </c>
      <c r="D168" s="501">
        <v>44600</v>
      </c>
      <c r="E168" s="314"/>
      <c r="F168" s="314" t="s">
        <v>1393</v>
      </c>
      <c r="G168" s="433" t="s">
        <v>169</v>
      </c>
      <c r="H168" s="433" t="s">
        <v>1360</v>
      </c>
      <c r="I168" s="681" t="s">
        <v>795</v>
      </c>
      <c r="J168" s="681" t="s">
        <v>2701</v>
      </c>
      <c r="K168" s="687" t="s">
        <v>2664</v>
      </c>
      <c r="L168" s="688" t="s">
        <v>438</v>
      </c>
      <c r="M168" s="689" t="s">
        <v>1239</v>
      </c>
      <c r="N168" s="680" t="s">
        <v>431</v>
      </c>
      <c r="O168" s="325"/>
      <c r="P168" s="185"/>
      <c r="Q168" s="433"/>
      <c r="R168" s="581" t="s">
        <v>171</v>
      </c>
      <c r="S168" s="581" t="s">
        <v>170</v>
      </c>
      <c r="U168" s="485" t="s">
        <v>318</v>
      </c>
      <c r="V168" s="485" t="s">
        <v>3594</v>
      </c>
      <c r="X168" s="485"/>
      <c r="Y168" s="485"/>
      <c r="AA168" s="1332"/>
    </row>
    <row r="169" spans="3:27" ht="10.5" customHeight="1">
      <c r="C169" s="420" t="s">
        <v>348</v>
      </c>
      <c r="D169" s="501">
        <v>43600</v>
      </c>
      <c r="E169" s="314"/>
      <c r="F169" s="314" t="s">
        <v>1394</v>
      </c>
      <c r="G169" s="433" t="s">
        <v>170</v>
      </c>
      <c r="H169" s="433" t="s">
        <v>1384</v>
      </c>
      <c r="I169" s="679" t="s">
        <v>2121</v>
      </c>
      <c r="J169" s="679" t="s">
        <v>2701</v>
      </c>
      <c r="K169" s="687" t="s">
        <v>644</v>
      </c>
      <c r="L169" s="688" t="s">
        <v>438</v>
      </c>
      <c r="M169" s="690" t="s">
        <v>1239</v>
      </c>
      <c r="N169" s="680" t="s">
        <v>432</v>
      </c>
      <c r="O169" s="325"/>
      <c r="P169" s="314"/>
      <c r="Q169" s="433"/>
      <c r="R169" s="581" t="s">
        <v>1251</v>
      </c>
      <c r="S169" s="581" t="s">
        <v>1252</v>
      </c>
      <c r="U169" s="485" t="s">
        <v>12</v>
      </c>
      <c r="V169" s="485" t="s">
        <v>3594</v>
      </c>
      <c r="X169" s="485"/>
      <c r="Y169" s="485"/>
      <c r="AA169" s="1332"/>
    </row>
    <row r="170" spans="3:27" ht="10.5" customHeight="1">
      <c r="C170" s="419" t="s">
        <v>203</v>
      </c>
      <c r="D170" s="501">
        <v>43300</v>
      </c>
      <c r="E170" s="314"/>
      <c r="F170" s="314" t="s">
        <v>1395</v>
      </c>
      <c r="G170" s="433" t="s">
        <v>2567</v>
      </c>
      <c r="H170" s="433" t="s">
        <v>1257</v>
      </c>
      <c r="I170" s="679" t="s">
        <v>2568</v>
      </c>
      <c r="J170" s="679" t="s">
        <v>2700</v>
      </c>
      <c r="K170" s="687" t="s">
        <v>645</v>
      </c>
      <c r="L170" s="688" t="s">
        <v>437</v>
      </c>
      <c r="M170" s="690" t="s">
        <v>2687</v>
      </c>
      <c r="N170" s="680" t="s">
        <v>809</v>
      </c>
      <c r="O170" s="611"/>
      <c r="P170" s="185"/>
      <c r="Q170" s="433"/>
      <c r="R170" s="581" t="s">
        <v>810</v>
      </c>
      <c r="S170" s="581" t="s">
        <v>202</v>
      </c>
      <c r="U170" s="485" t="s">
        <v>14</v>
      </c>
      <c r="V170" s="485" t="s">
        <v>3594</v>
      </c>
      <c r="X170" s="485"/>
      <c r="Y170" s="485"/>
      <c r="AA170" s="1332"/>
    </row>
    <row r="171" spans="3:27" ht="10.5" customHeight="1">
      <c r="C171" s="419" t="s">
        <v>986</v>
      </c>
      <c r="D171" s="501">
        <v>47300</v>
      </c>
      <c r="E171" s="314"/>
      <c r="F171" s="314" t="s">
        <v>1396</v>
      </c>
      <c r="G171" s="433" t="s">
        <v>2569</v>
      </c>
      <c r="H171" s="433" t="s">
        <v>1384</v>
      </c>
      <c r="I171" s="681" t="s">
        <v>795</v>
      </c>
      <c r="J171" s="681" t="s">
        <v>2701</v>
      </c>
      <c r="K171" s="687" t="s">
        <v>2664</v>
      </c>
      <c r="L171" s="688" t="s">
        <v>438</v>
      </c>
      <c r="M171" s="689" t="s">
        <v>1239</v>
      </c>
      <c r="N171" s="680" t="s">
        <v>811</v>
      </c>
      <c r="O171" s="611"/>
      <c r="P171" s="185"/>
      <c r="Q171" s="433"/>
      <c r="R171" s="581" t="s">
        <v>2149</v>
      </c>
      <c r="S171" s="581" t="s">
        <v>1362</v>
      </c>
      <c r="U171" s="485" t="s">
        <v>61</v>
      </c>
      <c r="V171" s="485" t="s">
        <v>3594</v>
      </c>
      <c r="X171" s="485"/>
      <c r="Y171" s="485"/>
      <c r="AA171" s="1332"/>
    </row>
    <row r="172" spans="3:27" ht="10.5" customHeight="1">
      <c r="C172" s="420" t="s">
        <v>988</v>
      </c>
      <c r="D172" s="501">
        <v>43600</v>
      </c>
      <c r="E172" s="314"/>
      <c r="F172" s="314" t="s">
        <v>1397</v>
      </c>
      <c r="G172" s="433" t="s">
        <v>2570</v>
      </c>
      <c r="H172" s="433" t="s">
        <v>1257</v>
      </c>
      <c r="I172" s="679" t="s">
        <v>2571</v>
      </c>
      <c r="J172" s="679" t="s">
        <v>2700</v>
      </c>
      <c r="K172" s="687" t="s">
        <v>646</v>
      </c>
      <c r="L172" s="688" t="s">
        <v>437</v>
      </c>
      <c r="M172" s="690" t="s">
        <v>2687</v>
      </c>
      <c r="N172" s="680" t="s">
        <v>2150</v>
      </c>
      <c r="O172" s="611"/>
      <c r="P172" s="185"/>
      <c r="Q172" s="433"/>
      <c r="R172" s="581" t="s">
        <v>1379</v>
      </c>
      <c r="S172" s="581" t="s">
        <v>1147</v>
      </c>
      <c r="U172" s="485" t="s">
        <v>63</v>
      </c>
      <c r="V172" s="485" t="s">
        <v>3594</v>
      </c>
      <c r="X172" s="485"/>
      <c r="Y172" s="485"/>
      <c r="AA172" s="1332"/>
    </row>
    <row r="173" spans="3:27" ht="10.5" customHeight="1">
      <c r="C173" s="419" t="s">
        <v>908</v>
      </c>
      <c r="D173" s="501">
        <v>44100</v>
      </c>
      <c r="E173" s="314"/>
      <c r="F173" s="314" t="s">
        <v>1398</v>
      </c>
      <c r="G173" s="433" t="s">
        <v>2572</v>
      </c>
      <c r="H173" s="433" t="s">
        <v>1360</v>
      </c>
      <c r="I173" s="681" t="s">
        <v>795</v>
      </c>
      <c r="J173" s="681" t="s">
        <v>2701</v>
      </c>
      <c r="K173" s="687" t="s">
        <v>2664</v>
      </c>
      <c r="L173" s="688" t="s">
        <v>438</v>
      </c>
      <c r="M173" s="689" t="s">
        <v>1239</v>
      </c>
      <c r="N173" s="680" t="s">
        <v>2151</v>
      </c>
      <c r="O173" s="611"/>
      <c r="P173" s="185"/>
      <c r="Q173" s="433"/>
      <c r="R173" s="581" t="s">
        <v>2152</v>
      </c>
      <c r="S173" s="581" t="s">
        <v>2572</v>
      </c>
      <c r="U173" s="485" t="s">
        <v>365</v>
      </c>
      <c r="V173" s="485" t="s">
        <v>3594</v>
      </c>
      <c r="X173" s="485"/>
      <c r="Y173" s="485"/>
      <c r="AA173" s="1332"/>
    </row>
    <row r="174" spans="3:27" ht="10.5" customHeight="1">
      <c r="C174" s="420" t="s">
        <v>912</v>
      </c>
      <c r="D174" s="501">
        <v>42700</v>
      </c>
      <c r="E174" s="314"/>
      <c r="F174" s="314" t="s">
        <v>1399</v>
      </c>
      <c r="G174" s="433" t="s">
        <v>2573</v>
      </c>
      <c r="H174" s="433" t="s">
        <v>1257</v>
      </c>
      <c r="I174" s="679" t="s">
        <v>2574</v>
      </c>
      <c r="J174" s="679" t="s">
        <v>2700</v>
      </c>
      <c r="K174" s="687" t="s">
        <v>647</v>
      </c>
      <c r="L174" s="688" t="s">
        <v>437</v>
      </c>
      <c r="M174" s="690" t="s">
        <v>2687</v>
      </c>
      <c r="N174" s="680" t="s">
        <v>2153</v>
      </c>
      <c r="O174" s="611"/>
      <c r="P174" s="185"/>
      <c r="Q174" s="433"/>
      <c r="R174" s="581" t="s">
        <v>2075</v>
      </c>
      <c r="S174" s="581" t="s">
        <v>2252</v>
      </c>
      <c r="U174" s="485" t="s">
        <v>369</v>
      </c>
      <c r="V174" s="485" t="s">
        <v>3594</v>
      </c>
      <c r="X174" s="485"/>
      <c r="Y174" s="485"/>
      <c r="AA174" s="1332"/>
    </row>
    <row r="175" spans="3:27" ht="10.5" customHeight="1">
      <c r="C175" s="420" t="s">
        <v>2323</v>
      </c>
      <c r="D175" s="501">
        <v>39100</v>
      </c>
      <c r="E175" s="314"/>
      <c r="F175" s="314" t="s">
        <v>1400</v>
      </c>
      <c r="G175" s="433" t="s">
        <v>2575</v>
      </c>
      <c r="H175" s="433" t="s">
        <v>1257</v>
      </c>
      <c r="I175" s="679" t="s">
        <v>2615</v>
      </c>
      <c r="J175" s="679" t="s">
        <v>2700</v>
      </c>
      <c r="K175" s="687" t="s">
        <v>648</v>
      </c>
      <c r="L175" s="688" t="s">
        <v>437</v>
      </c>
      <c r="M175" s="690" t="s">
        <v>2687</v>
      </c>
      <c r="N175" s="680" t="s">
        <v>2184</v>
      </c>
      <c r="O175" s="611"/>
      <c r="P175" s="185"/>
      <c r="Q175" s="433"/>
      <c r="R175" s="581" t="s">
        <v>2154</v>
      </c>
      <c r="S175" s="581" t="s">
        <v>341</v>
      </c>
      <c r="U175" s="485" t="s">
        <v>2370</v>
      </c>
      <c r="V175" s="485" t="s">
        <v>3594</v>
      </c>
      <c r="X175" s="485"/>
      <c r="Y175" s="485"/>
      <c r="AA175" s="1332"/>
    </row>
    <row r="176" spans="3:27" ht="10.5" customHeight="1">
      <c r="C176" s="420" t="s">
        <v>680</v>
      </c>
      <c r="D176" s="501">
        <v>48100</v>
      </c>
      <c r="E176" s="314"/>
      <c r="F176" s="314" t="s">
        <v>1401</v>
      </c>
      <c r="G176" s="433" t="s">
        <v>2616</v>
      </c>
      <c r="H176" s="433" t="s">
        <v>1384</v>
      </c>
      <c r="I176" s="681" t="s">
        <v>796</v>
      </c>
      <c r="J176" s="681" t="s">
        <v>2701</v>
      </c>
      <c r="K176" s="687" t="s">
        <v>2686</v>
      </c>
      <c r="L176" s="688" t="s">
        <v>438</v>
      </c>
      <c r="M176" s="689" t="s">
        <v>1239</v>
      </c>
      <c r="N176" s="680" t="s">
        <v>2186</v>
      </c>
      <c r="O176" s="611"/>
      <c r="P176" s="185"/>
      <c r="Q176" s="433"/>
      <c r="R176" s="581" t="s">
        <v>2185</v>
      </c>
      <c r="S176" s="581" t="s">
        <v>652</v>
      </c>
      <c r="U176" s="485" t="s">
        <v>1381</v>
      </c>
      <c r="V176" s="485" t="s">
        <v>3594</v>
      </c>
      <c r="X176" s="485"/>
      <c r="Y176" s="485"/>
      <c r="AA176" s="1332"/>
    </row>
    <row r="177" spans="3:28" ht="10.5" customHeight="1">
      <c r="C177" s="420" t="s">
        <v>682</v>
      </c>
      <c r="D177" s="501">
        <v>44200</v>
      </c>
      <c r="E177" s="314"/>
      <c r="F177" s="314" t="s">
        <v>1402</v>
      </c>
      <c r="G177" s="433" t="s">
        <v>2617</v>
      </c>
      <c r="H177" s="433" t="s">
        <v>1257</v>
      </c>
      <c r="I177" s="679" t="s">
        <v>2618</v>
      </c>
      <c r="J177" s="679" t="s">
        <v>2700</v>
      </c>
      <c r="K177" s="687" t="s">
        <v>649</v>
      </c>
      <c r="L177" s="688" t="s">
        <v>437</v>
      </c>
      <c r="M177" s="690" t="s">
        <v>2687</v>
      </c>
      <c r="N177" s="680" t="s">
        <v>2188</v>
      </c>
      <c r="O177" s="611"/>
      <c r="P177" s="185"/>
      <c r="Q177" s="433"/>
      <c r="R177" s="581" t="s">
        <v>2187</v>
      </c>
      <c r="S177" s="581" t="s">
        <v>1692</v>
      </c>
      <c r="U177" s="485" t="s">
        <v>1617</v>
      </c>
      <c r="V177" s="485" t="s">
        <v>3594</v>
      </c>
      <c r="X177" s="485"/>
      <c r="Y177" s="485"/>
      <c r="AA177" s="1332"/>
    </row>
    <row r="178" spans="3:28" ht="10.5" customHeight="1">
      <c r="C178" s="420" t="s">
        <v>687</v>
      </c>
      <c r="D178" s="501">
        <v>46500</v>
      </c>
      <c r="E178" s="314"/>
      <c r="F178" s="314" t="s">
        <v>1403</v>
      </c>
      <c r="G178" s="433" t="s">
        <v>2619</v>
      </c>
      <c r="H178" s="433" t="s">
        <v>1384</v>
      </c>
      <c r="I178" s="681" t="s">
        <v>795</v>
      </c>
      <c r="J178" s="681" t="s">
        <v>2701</v>
      </c>
      <c r="K178" s="687" t="s">
        <v>2664</v>
      </c>
      <c r="L178" s="688" t="s">
        <v>438</v>
      </c>
      <c r="M178" s="689" t="s">
        <v>1239</v>
      </c>
      <c r="N178" s="680" t="s">
        <v>2190</v>
      </c>
      <c r="O178" s="611"/>
      <c r="P178" s="185"/>
      <c r="Q178" s="433"/>
      <c r="R178" s="581" t="s">
        <v>2189</v>
      </c>
      <c r="S178" s="581" t="s">
        <v>202</v>
      </c>
      <c r="U178" s="485" t="s">
        <v>1621</v>
      </c>
      <c r="V178" s="485" t="s">
        <v>3594</v>
      </c>
      <c r="X178" s="485"/>
      <c r="Y178" s="485"/>
      <c r="AA178" s="1332"/>
    </row>
    <row r="179" spans="3:28" ht="10.5" customHeight="1">
      <c r="C179" s="420" t="s">
        <v>1267</v>
      </c>
      <c r="D179" s="501">
        <v>60700</v>
      </c>
      <c r="E179" s="314"/>
      <c r="F179" s="314" t="s">
        <v>1404</v>
      </c>
      <c r="G179" s="433" t="s">
        <v>2620</v>
      </c>
      <c r="H179" s="433" t="s">
        <v>1384</v>
      </c>
      <c r="I179" s="681" t="s">
        <v>1369</v>
      </c>
      <c r="J179" s="681" t="s">
        <v>2701</v>
      </c>
      <c r="K179" s="687" t="s">
        <v>2667</v>
      </c>
      <c r="L179" s="688" t="s">
        <v>438</v>
      </c>
      <c r="M179" s="689" t="s">
        <v>1239</v>
      </c>
      <c r="N179" s="680" t="s">
        <v>2627</v>
      </c>
      <c r="O179" s="611"/>
      <c r="P179" s="185"/>
      <c r="Q179" s="433"/>
      <c r="R179" s="581" t="s">
        <v>1849</v>
      </c>
      <c r="S179" s="581" t="s">
        <v>124</v>
      </c>
      <c r="U179" s="485" t="s">
        <v>1811</v>
      </c>
      <c r="V179" s="485" t="s">
        <v>3594</v>
      </c>
      <c r="X179" s="485"/>
      <c r="Y179" s="485"/>
      <c r="AA179" s="1332"/>
    </row>
    <row r="180" spans="3:28" ht="10.5" customHeight="1">
      <c r="C180" s="420" t="s">
        <v>689</v>
      </c>
      <c r="D180" s="501">
        <v>45600</v>
      </c>
      <c r="E180" s="314"/>
      <c r="F180" s="314" t="s">
        <v>1405</v>
      </c>
      <c r="G180" s="433" t="s">
        <v>2621</v>
      </c>
      <c r="H180" s="433" t="s">
        <v>1257</v>
      </c>
      <c r="I180" s="679" t="s">
        <v>199</v>
      </c>
      <c r="J180" s="679" t="s">
        <v>2700</v>
      </c>
      <c r="K180" s="687" t="s">
        <v>650</v>
      </c>
      <c r="L180" s="688" t="s">
        <v>437</v>
      </c>
      <c r="M180" s="690" t="s">
        <v>2687</v>
      </c>
      <c r="N180" s="680" t="s">
        <v>1042</v>
      </c>
      <c r="O180" s="611"/>
      <c r="P180" s="185"/>
      <c r="Q180" s="433"/>
      <c r="R180" s="581" t="s">
        <v>2628</v>
      </c>
      <c r="S180" s="581" t="s">
        <v>169</v>
      </c>
      <c r="U180" s="485" t="s">
        <v>1059</v>
      </c>
      <c r="V180" s="485" t="s">
        <v>3594</v>
      </c>
      <c r="X180" s="485"/>
      <c r="Y180" s="485"/>
      <c r="AA180" s="1332"/>
    </row>
    <row r="181" spans="3:28" ht="10.5" customHeight="1">
      <c r="C181" s="420" t="s">
        <v>691</v>
      </c>
      <c r="D181" s="501">
        <v>51300</v>
      </c>
      <c r="E181" s="314"/>
      <c r="F181" s="314" t="s">
        <v>1406</v>
      </c>
      <c r="G181" s="433" t="s">
        <v>200</v>
      </c>
      <c r="H181" s="433" t="s">
        <v>1360</v>
      </c>
      <c r="I181" s="681" t="s">
        <v>1578</v>
      </c>
      <c r="J181" s="681" t="s">
        <v>2701</v>
      </c>
      <c r="K181" s="687" t="s">
        <v>1744</v>
      </c>
      <c r="L181" s="688" t="s">
        <v>438</v>
      </c>
      <c r="M181" s="689" t="s">
        <v>1239</v>
      </c>
      <c r="N181" s="680" t="s">
        <v>2078</v>
      </c>
      <c r="O181" s="611"/>
      <c r="P181" s="185"/>
      <c r="Q181" s="433"/>
      <c r="R181" s="581" t="s">
        <v>1043</v>
      </c>
      <c r="S181" s="581" t="s">
        <v>444</v>
      </c>
      <c r="U181" s="485" t="s">
        <v>1062</v>
      </c>
      <c r="V181" s="485" t="s">
        <v>3594</v>
      </c>
      <c r="X181" s="485"/>
      <c r="Y181" s="485"/>
      <c r="AA181" s="1332"/>
    </row>
    <row r="182" spans="3:28" ht="10.5" customHeight="1">
      <c r="C182" s="420" t="s">
        <v>694</v>
      </c>
      <c r="D182" s="501">
        <v>51300</v>
      </c>
      <c r="E182" s="314"/>
      <c r="F182" s="314" t="s">
        <v>1407</v>
      </c>
      <c r="G182" s="433" t="s">
        <v>201</v>
      </c>
      <c r="H182" s="433" t="s">
        <v>1360</v>
      </c>
      <c r="I182" s="681" t="s">
        <v>795</v>
      </c>
      <c r="J182" s="681" t="s">
        <v>2701</v>
      </c>
      <c r="K182" s="687" t="s">
        <v>2664</v>
      </c>
      <c r="L182" s="688" t="s">
        <v>438</v>
      </c>
      <c r="M182" s="689" t="s">
        <v>1239</v>
      </c>
      <c r="N182" s="680" t="s">
        <v>16</v>
      </c>
      <c r="O182" s="611"/>
      <c r="P182" s="185"/>
      <c r="Q182" s="433"/>
      <c r="R182" s="581" t="s">
        <v>1363</v>
      </c>
      <c r="S182" s="581" t="s">
        <v>341</v>
      </c>
      <c r="U182" s="485" t="s">
        <v>1824</v>
      </c>
      <c r="V182" s="485" t="s">
        <v>3594</v>
      </c>
      <c r="X182" s="485"/>
      <c r="Y182" s="485"/>
      <c r="AA182" s="1332"/>
    </row>
    <row r="183" spans="3:28" ht="10.5" customHeight="1">
      <c r="C183" s="420" t="s">
        <v>696</v>
      </c>
      <c r="D183" s="501">
        <v>41100</v>
      </c>
      <c r="E183" s="314"/>
      <c r="F183" s="314" t="s">
        <v>1408</v>
      </c>
      <c r="G183" s="433" t="s">
        <v>202</v>
      </c>
      <c r="H183" s="433" t="s">
        <v>1257</v>
      </c>
      <c r="I183" s="679" t="s">
        <v>203</v>
      </c>
      <c r="J183" s="679" t="s">
        <v>2700</v>
      </c>
      <c r="K183" s="687" t="s">
        <v>651</v>
      </c>
      <c r="L183" s="688" t="s">
        <v>437</v>
      </c>
      <c r="M183" s="690" t="s">
        <v>2687</v>
      </c>
      <c r="N183" s="680" t="s">
        <v>2315</v>
      </c>
      <c r="O183" s="611"/>
      <c r="P183" s="185"/>
      <c r="Q183" s="433"/>
      <c r="R183" s="581" t="s">
        <v>17</v>
      </c>
      <c r="S183" s="581" t="s">
        <v>1725</v>
      </c>
      <c r="U183" s="485" t="s">
        <v>2142</v>
      </c>
      <c r="V183" s="485" t="s">
        <v>3594</v>
      </c>
      <c r="X183" s="485"/>
      <c r="Y183" s="485"/>
      <c r="AA183" s="1332"/>
    </row>
    <row r="184" spans="3:28" ht="10.5" customHeight="1">
      <c r="C184" s="420" t="s">
        <v>698</v>
      </c>
      <c r="D184" s="501">
        <v>49600</v>
      </c>
      <c r="E184" s="314"/>
      <c r="F184" s="314" t="s">
        <v>1409</v>
      </c>
      <c r="G184" s="433" t="s">
        <v>204</v>
      </c>
      <c r="H184" s="433" t="s">
        <v>1384</v>
      </c>
      <c r="I184" s="681" t="s">
        <v>795</v>
      </c>
      <c r="J184" s="681" t="s">
        <v>2701</v>
      </c>
      <c r="K184" s="687" t="s">
        <v>2664</v>
      </c>
      <c r="L184" s="688" t="s">
        <v>438</v>
      </c>
      <c r="M184" s="689" t="s">
        <v>1239</v>
      </c>
      <c r="N184" s="680" t="s">
        <v>2317</v>
      </c>
      <c r="O184" s="611"/>
      <c r="P184" s="185"/>
      <c r="Q184" s="433"/>
      <c r="R184" s="581" t="s">
        <v>2316</v>
      </c>
      <c r="S184" s="581" t="s">
        <v>1256</v>
      </c>
      <c r="U184" s="485" t="s">
        <v>2144</v>
      </c>
      <c r="V184" s="485" t="s">
        <v>3594</v>
      </c>
      <c r="X184" s="485"/>
      <c r="Y184" s="485"/>
      <c r="AA184" s="1332"/>
    </row>
    <row r="185" spans="3:28" ht="10.5" customHeight="1">
      <c r="C185" s="420" t="s">
        <v>125</v>
      </c>
      <c r="D185" s="501">
        <v>52900</v>
      </c>
      <c r="E185" s="314"/>
      <c r="F185" s="314" t="s">
        <v>1410</v>
      </c>
      <c r="G185" s="433" t="s">
        <v>205</v>
      </c>
      <c r="H185" s="433" t="s">
        <v>1257</v>
      </c>
      <c r="I185" s="679" t="s">
        <v>986</v>
      </c>
      <c r="J185" s="679" t="s">
        <v>2700</v>
      </c>
      <c r="K185" s="687" t="s">
        <v>2033</v>
      </c>
      <c r="L185" s="688" t="s">
        <v>437</v>
      </c>
      <c r="M185" s="690" t="s">
        <v>2687</v>
      </c>
      <c r="N185" s="680" t="s">
        <v>2319</v>
      </c>
      <c r="O185" s="611"/>
      <c r="P185" s="185"/>
      <c r="Q185" s="433"/>
      <c r="R185" s="682" t="s">
        <v>2318</v>
      </c>
      <c r="S185" s="682" t="s">
        <v>2324</v>
      </c>
      <c r="U185" s="485" t="s">
        <v>702</v>
      </c>
      <c r="V185" s="485" t="s">
        <v>3594</v>
      </c>
      <c r="X185" s="485"/>
      <c r="Y185" s="485"/>
      <c r="AA185" s="1333"/>
    </row>
    <row r="186" spans="3:28" ht="10.5" customHeight="1">
      <c r="C186" s="420" t="s">
        <v>326</v>
      </c>
      <c r="D186" s="501">
        <v>35400</v>
      </c>
      <c r="E186" s="314"/>
      <c r="F186" s="314" t="s">
        <v>1411</v>
      </c>
      <c r="G186" s="433" t="s">
        <v>987</v>
      </c>
      <c r="H186" s="433" t="s">
        <v>1257</v>
      </c>
      <c r="I186" s="679" t="s">
        <v>988</v>
      </c>
      <c r="J186" s="679" t="s">
        <v>2700</v>
      </c>
      <c r="K186" s="687" t="s">
        <v>2034</v>
      </c>
      <c r="L186" s="688" t="s">
        <v>437</v>
      </c>
      <c r="M186" s="690" t="s">
        <v>2687</v>
      </c>
      <c r="N186" s="680" t="s">
        <v>2349</v>
      </c>
      <c r="O186" s="611"/>
      <c r="P186" s="185"/>
      <c r="Q186" s="433"/>
      <c r="R186" s="581" t="s">
        <v>2649</v>
      </c>
      <c r="S186" s="581" t="s">
        <v>652</v>
      </c>
      <c r="U186" s="485" t="s">
        <v>1294</v>
      </c>
      <c r="V186" s="485" t="s">
        <v>3594</v>
      </c>
      <c r="X186" s="485"/>
      <c r="Y186" s="485"/>
      <c r="AA186" s="1332"/>
    </row>
    <row r="187" spans="3:28" ht="10.5" customHeight="1">
      <c r="C187" s="420" t="s">
        <v>797</v>
      </c>
      <c r="D187" s="501">
        <v>47100</v>
      </c>
      <c r="E187" s="314"/>
      <c r="F187" s="314" t="s">
        <v>1412</v>
      </c>
      <c r="G187" s="433" t="s">
        <v>989</v>
      </c>
      <c r="H187" s="433" t="s">
        <v>1257</v>
      </c>
      <c r="I187" s="681" t="s">
        <v>1848</v>
      </c>
      <c r="J187" s="681" t="s">
        <v>2701</v>
      </c>
      <c r="K187" s="687" t="s">
        <v>1203</v>
      </c>
      <c r="L187" s="688" t="s">
        <v>438</v>
      </c>
      <c r="M187" s="690" t="s">
        <v>1239</v>
      </c>
      <c r="N187" s="680" t="s">
        <v>1839</v>
      </c>
      <c r="O187" s="611"/>
      <c r="P187" s="185"/>
      <c r="Q187" s="433"/>
      <c r="R187" s="581" t="s">
        <v>2320</v>
      </c>
      <c r="S187" s="581" t="s">
        <v>123</v>
      </c>
      <c r="U187" s="485" t="s">
        <v>1296</v>
      </c>
      <c r="V187" s="485" t="s">
        <v>3594</v>
      </c>
      <c r="X187" s="485"/>
      <c r="Y187" s="485"/>
      <c r="AA187" s="1332"/>
    </row>
    <row r="188" spans="3:28" ht="10.5" customHeight="1">
      <c r="C188" s="420" t="s">
        <v>330</v>
      </c>
      <c r="D188" s="501">
        <v>46600</v>
      </c>
      <c r="E188" s="314"/>
      <c r="F188" s="314" t="s">
        <v>1413</v>
      </c>
      <c r="G188" s="433" t="s">
        <v>906</v>
      </c>
      <c r="H188" s="433" t="s">
        <v>1384</v>
      </c>
      <c r="I188" s="681" t="s">
        <v>795</v>
      </c>
      <c r="J188" s="681" t="s">
        <v>2701</v>
      </c>
      <c r="K188" s="687" t="s">
        <v>2664</v>
      </c>
      <c r="L188" s="688" t="s">
        <v>438</v>
      </c>
      <c r="M188" s="689" t="s">
        <v>1239</v>
      </c>
      <c r="N188" s="680" t="s">
        <v>1841</v>
      </c>
      <c r="O188" s="611"/>
      <c r="P188" s="185"/>
      <c r="Q188" s="433"/>
      <c r="R188" s="581" t="s">
        <v>1815</v>
      </c>
      <c r="S188" s="581" t="s">
        <v>2575</v>
      </c>
      <c r="U188" s="485" t="s">
        <v>2569</v>
      </c>
      <c r="V188" s="485" t="s">
        <v>3594</v>
      </c>
      <c r="X188" s="485"/>
      <c r="Y188" s="485"/>
      <c r="AA188" s="1332"/>
    </row>
    <row r="189" spans="3:28" ht="10.5" customHeight="1">
      <c r="C189" s="420" t="s">
        <v>1075</v>
      </c>
      <c r="D189" s="501">
        <v>48700</v>
      </c>
      <c r="E189" s="314"/>
      <c r="F189" s="314" t="s">
        <v>1414</v>
      </c>
      <c r="G189" s="433" t="s">
        <v>907</v>
      </c>
      <c r="H189" s="433" t="s">
        <v>1257</v>
      </c>
      <c r="I189" s="679" t="s">
        <v>908</v>
      </c>
      <c r="J189" s="679" t="s">
        <v>2700</v>
      </c>
      <c r="K189" s="687" t="s">
        <v>2035</v>
      </c>
      <c r="L189" s="688" t="s">
        <v>437</v>
      </c>
      <c r="M189" s="690" t="s">
        <v>2687</v>
      </c>
      <c r="N189" s="680" t="s">
        <v>2236</v>
      </c>
      <c r="O189" s="611"/>
      <c r="P189" s="185"/>
      <c r="Q189" s="433"/>
      <c r="R189" s="581" t="s">
        <v>1840</v>
      </c>
      <c r="S189" s="581" t="s">
        <v>1362</v>
      </c>
      <c r="U189" s="485" t="s">
        <v>2579</v>
      </c>
      <c r="V189" s="485" t="s">
        <v>3594</v>
      </c>
      <c r="X189" s="485"/>
      <c r="Y189" s="485"/>
      <c r="AA189" s="1332"/>
    </row>
    <row r="190" spans="3:28" ht="10.5" customHeight="1">
      <c r="C190" s="420" t="s">
        <v>335</v>
      </c>
      <c r="D190" s="501">
        <v>50800</v>
      </c>
      <c r="E190" s="314"/>
      <c r="F190" s="314" t="s">
        <v>1415</v>
      </c>
      <c r="G190" s="433" t="s">
        <v>909</v>
      </c>
      <c r="H190" s="433" t="s">
        <v>1257</v>
      </c>
      <c r="I190" s="679" t="s">
        <v>1760</v>
      </c>
      <c r="J190" s="679" t="s">
        <v>2701</v>
      </c>
      <c r="K190" s="687" t="s">
        <v>2670</v>
      </c>
      <c r="L190" s="688" t="s">
        <v>438</v>
      </c>
      <c r="M190" s="689" t="s">
        <v>1239</v>
      </c>
      <c r="N190" s="680" t="s">
        <v>2237</v>
      </c>
      <c r="O190" s="611"/>
      <c r="P190" s="185"/>
      <c r="Q190" s="433"/>
      <c r="R190" s="581" t="s">
        <v>1842</v>
      </c>
      <c r="S190" s="581" t="s">
        <v>2084</v>
      </c>
      <c r="U190" s="485" t="s">
        <v>89</v>
      </c>
      <c r="V190" s="485" t="s">
        <v>3594</v>
      </c>
      <c r="X190" s="485"/>
      <c r="Y190" s="485"/>
      <c r="AA190" s="1332"/>
    </row>
    <row r="191" spans="3:28" ht="10.5" customHeight="1">
      <c r="C191" s="419" t="s">
        <v>337</v>
      </c>
      <c r="D191" s="501">
        <v>62300</v>
      </c>
      <c r="E191" s="314"/>
      <c r="F191" s="314" t="s">
        <v>1416</v>
      </c>
      <c r="G191" s="433" t="s">
        <v>910</v>
      </c>
      <c r="H191" s="433" t="s">
        <v>1257</v>
      </c>
      <c r="I191" s="681" t="s">
        <v>1375</v>
      </c>
      <c r="J191" s="681" t="s">
        <v>2701</v>
      </c>
      <c r="K191" s="687" t="s">
        <v>1519</v>
      </c>
      <c r="L191" s="688" t="s">
        <v>438</v>
      </c>
      <c r="M191" s="689" t="s">
        <v>1239</v>
      </c>
      <c r="N191" s="680" t="s">
        <v>2529</v>
      </c>
      <c r="O191" s="325"/>
      <c r="P191" s="185"/>
      <c r="Q191" s="433"/>
      <c r="R191" s="581" t="s">
        <v>857</v>
      </c>
      <c r="S191" s="581" t="s">
        <v>2676</v>
      </c>
      <c r="U191" s="485" t="s">
        <v>1280</v>
      </c>
      <c r="V191" s="485" t="s">
        <v>3594</v>
      </c>
      <c r="X191" s="485"/>
      <c r="Y191" s="485"/>
      <c r="AA191" s="1332"/>
      <c r="AB191" s="1332"/>
    </row>
    <row r="192" spans="3:28" ht="10.5" customHeight="1">
      <c r="C192" s="420" t="s">
        <v>340</v>
      </c>
      <c r="D192" s="501">
        <v>44800</v>
      </c>
      <c r="E192" s="314"/>
      <c r="F192" s="683"/>
      <c r="G192" s="433" t="s">
        <v>911</v>
      </c>
      <c r="H192" s="433" t="s">
        <v>1384</v>
      </c>
      <c r="I192" s="679" t="s">
        <v>912</v>
      </c>
      <c r="J192" s="679" t="s">
        <v>2700</v>
      </c>
      <c r="K192" s="687" t="s">
        <v>1385</v>
      </c>
      <c r="L192" s="688" t="s">
        <v>437</v>
      </c>
      <c r="M192" s="690" t="s">
        <v>2687</v>
      </c>
      <c r="N192" s="680" t="s">
        <v>2531</v>
      </c>
      <c r="O192" s="325"/>
      <c r="P192" s="185"/>
      <c r="Q192" s="433"/>
      <c r="R192" s="581" t="s">
        <v>2238</v>
      </c>
      <c r="S192" s="581" t="s">
        <v>2678</v>
      </c>
      <c r="U192" s="485" t="s">
        <v>166</v>
      </c>
      <c r="V192" s="485" t="s">
        <v>3594</v>
      </c>
      <c r="X192" s="485"/>
      <c r="Y192" s="485"/>
      <c r="AA192" s="1332"/>
    </row>
    <row r="193" spans="3:28" ht="10.5" customHeight="1">
      <c r="C193" s="419" t="s">
        <v>342</v>
      </c>
      <c r="D193" s="501">
        <v>36900</v>
      </c>
      <c r="E193" s="314"/>
      <c r="F193" s="683"/>
      <c r="G193" s="433" t="s">
        <v>2322</v>
      </c>
      <c r="H193" s="433" t="s">
        <v>1257</v>
      </c>
      <c r="I193" s="679" t="s">
        <v>2323</v>
      </c>
      <c r="J193" s="679" t="s">
        <v>2700</v>
      </c>
      <c r="K193" s="687" t="s">
        <v>1386</v>
      </c>
      <c r="L193" s="688" t="s">
        <v>437</v>
      </c>
      <c r="M193" s="690" t="s">
        <v>2687</v>
      </c>
      <c r="N193" s="680" t="s">
        <v>2533</v>
      </c>
      <c r="O193" s="325"/>
      <c r="P193" s="185"/>
      <c r="Q193" s="433"/>
      <c r="R193" s="682" t="s">
        <v>2530</v>
      </c>
      <c r="S193" s="682" t="s">
        <v>1132</v>
      </c>
      <c r="U193" s="485" t="s">
        <v>928</v>
      </c>
      <c r="V193" s="485" t="s">
        <v>3594</v>
      </c>
      <c r="X193" s="485"/>
      <c r="Y193" s="485"/>
      <c r="AA193" s="1333"/>
    </row>
    <row r="194" spans="3:28" ht="10.5" customHeight="1">
      <c r="C194" s="420" t="s">
        <v>344</v>
      </c>
      <c r="D194" s="501">
        <v>34100</v>
      </c>
      <c r="E194" s="314"/>
      <c r="F194" s="683"/>
      <c r="G194" s="433" t="s">
        <v>2324</v>
      </c>
      <c r="H194" s="433" t="s">
        <v>1257</v>
      </c>
      <c r="I194" s="679" t="s">
        <v>680</v>
      </c>
      <c r="J194" s="679" t="s">
        <v>2700</v>
      </c>
      <c r="K194" s="687" t="s">
        <v>1387</v>
      </c>
      <c r="L194" s="688" t="s">
        <v>437</v>
      </c>
      <c r="M194" s="690" t="s">
        <v>2687</v>
      </c>
      <c r="N194" s="680" t="s">
        <v>2535</v>
      </c>
      <c r="O194" s="325"/>
      <c r="P194" s="185"/>
      <c r="Q194" s="433"/>
      <c r="R194" s="581" t="s">
        <v>2650</v>
      </c>
      <c r="S194" s="581" t="s">
        <v>332</v>
      </c>
      <c r="U194" s="485" t="s">
        <v>2218</v>
      </c>
      <c r="V194" s="485" t="s">
        <v>3594</v>
      </c>
      <c r="X194" s="485"/>
      <c r="Y194" s="485"/>
      <c r="AA194" s="1332"/>
      <c r="AB194" s="1336"/>
    </row>
    <row r="195" spans="3:28" ht="10.5" customHeight="1">
      <c r="C195" s="420" t="s">
        <v>346</v>
      </c>
      <c r="D195" s="501">
        <v>43400</v>
      </c>
      <c r="E195" s="314"/>
      <c r="F195" s="683"/>
      <c r="G195" s="433" t="s">
        <v>681</v>
      </c>
      <c r="H195" s="433" t="s">
        <v>1360</v>
      </c>
      <c r="I195" s="679" t="s">
        <v>682</v>
      </c>
      <c r="J195" s="679" t="s">
        <v>2700</v>
      </c>
      <c r="K195" s="687" t="s">
        <v>1388</v>
      </c>
      <c r="L195" s="688" t="s">
        <v>437</v>
      </c>
      <c r="M195" s="690" t="s">
        <v>2687</v>
      </c>
      <c r="N195" s="680" t="s">
        <v>2536</v>
      </c>
      <c r="O195" s="325"/>
      <c r="P195" s="185"/>
      <c r="Q195" s="433"/>
      <c r="R195" s="581" t="s">
        <v>2532</v>
      </c>
      <c r="S195" s="581" t="s">
        <v>1994</v>
      </c>
      <c r="U195" s="485" t="s">
        <v>2136</v>
      </c>
      <c r="V195" s="485" t="s">
        <v>3594</v>
      </c>
      <c r="X195" s="485"/>
      <c r="Y195" s="485"/>
      <c r="AA195" s="1332"/>
    </row>
    <row r="196" spans="3:28" ht="10.5" customHeight="1">
      <c r="C196" s="420" t="s">
        <v>798</v>
      </c>
      <c r="D196" s="501">
        <v>48400</v>
      </c>
      <c r="E196" s="314"/>
      <c r="F196" s="683"/>
      <c r="G196" s="433" t="s">
        <v>683</v>
      </c>
      <c r="H196" s="433" t="s">
        <v>1384</v>
      </c>
      <c r="I196" s="681" t="s">
        <v>795</v>
      </c>
      <c r="J196" s="681" t="s">
        <v>2701</v>
      </c>
      <c r="K196" s="687" t="s">
        <v>2664</v>
      </c>
      <c r="L196" s="688" t="s">
        <v>438</v>
      </c>
      <c r="M196" s="689" t="s">
        <v>1239</v>
      </c>
      <c r="N196" s="680" t="s">
        <v>2309</v>
      </c>
      <c r="O196" s="325"/>
      <c r="P196" s="185"/>
      <c r="Q196" s="433"/>
      <c r="R196" s="581" t="s">
        <v>2534</v>
      </c>
      <c r="S196" s="581" t="s">
        <v>907</v>
      </c>
      <c r="U196" s="485" t="s">
        <v>623</v>
      </c>
      <c r="V196" s="485" t="s">
        <v>3594</v>
      </c>
      <c r="X196" s="485"/>
      <c r="Y196" s="485"/>
      <c r="AA196" s="1332"/>
    </row>
    <row r="197" spans="3:28" ht="10.5" customHeight="1">
      <c r="C197" s="420" t="s">
        <v>1510</v>
      </c>
      <c r="D197" s="501">
        <v>47300</v>
      </c>
      <c r="E197" s="314"/>
      <c r="F197" s="683"/>
      <c r="G197" s="433" t="s">
        <v>684</v>
      </c>
      <c r="H197" s="433" t="s">
        <v>1360</v>
      </c>
      <c r="I197" s="681" t="s">
        <v>2348</v>
      </c>
      <c r="J197" s="681" t="s">
        <v>2701</v>
      </c>
      <c r="K197" s="687" t="s">
        <v>1389</v>
      </c>
      <c r="L197" s="688" t="s">
        <v>438</v>
      </c>
      <c r="M197" s="690" t="s">
        <v>1239</v>
      </c>
      <c r="N197" s="680" t="s">
        <v>736</v>
      </c>
      <c r="O197" s="325"/>
      <c r="P197" s="185"/>
      <c r="Q197" s="433"/>
      <c r="R197" s="581" t="s">
        <v>2537</v>
      </c>
      <c r="S197" s="581" t="s">
        <v>164</v>
      </c>
      <c r="U197" s="485" t="s">
        <v>625</v>
      </c>
      <c r="V197" s="485" t="s">
        <v>3594</v>
      </c>
      <c r="X197" s="485"/>
      <c r="Y197" s="485"/>
      <c r="AA197" s="1332"/>
    </row>
    <row r="198" spans="3:28" ht="10.5" customHeight="1">
      <c r="C198" s="420" t="s">
        <v>1514</v>
      </c>
      <c r="D198" s="501">
        <v>45900</v>
      </c>
      <c r="E198" s="314"/>
      <c r="F198" s="683"/>
      <c r="G198" s="433" t="s">
        <v>685</v>
      </c>
      <c r="H198" s="433" t="s">
        <v>1360</v>
      </c>
      <c r="I198" s="681" t="s">
        <v>795</v>
      </c>
      <c r="J198" s="681" t="s">
        <v>2701</v>
      </c>
      <c r="K198" s="687" t="s">
        <v>2664</v>
      </c>
      <c r="L198" s="688" t="s">
        <v>438</v>
      </c>
      <c r="M198" s="689" t="s">
        <v>1239</v>
      </c>
      <c r="N198" s="680" t="s">
        <v>738</v>
      </c>
      <c r="O198" s="325"/>
      <c r="P198" s="185"/>
      <c r="Q198" s="433"/>
      <c r="R198" s="581" t="s">
        <v>2310</v>
      </c>
      <c r="S198" s="581" t="s">
        <v>681</v>
      </c>
      <c r="U198" s="485" t="s">
        <v>2620</v>
      </c>
      <c r="V198" s="485" t="s">
        <v>3594</v>
      </c>
      <c r="X198" s="485"/>
      <c r="Y198" s="485"/>
      <c r="AA198" s="1332"/>
    </row>
    <row r="199" spans="3:28" ht="10.5" customHeight="1">
      <c r="C199" s="420" t="s">
        <v>1516</v>
      </c>
      <c r="D199" s="501">
        <v>51000</v>
      </c>
      <c r="E199" s="314"/>
      <c r="F199" s="683"/>
      <c r="G199" s="433" t="s">
        <v>686</v>
      </c>
      <c r="H199" s="433" t="s">
        <v>1360</v>
      </c>
      <c r="I199" s="681" t="s">
        <v>687</v>
      </c>
      <c r="J199" s="681" t="s">
        <v>2700</v>
      </c>
      <c r="K199" s="687" t="s">
        <v>1390</v>
      </c>
      <c r="L199" s="688" t="s">
        <v>437</v>
      </c>
      <c r="M199" s="690" t="s">
        <v>2687</v>
      </c>
      <c r="N199" s="680" t="s">
        <v>740</v>
      </c>
      <c r="O199" s="325"/>
      <c r="P199" s="185"/>
      <c r="Q199" s="433"/>
      <c r="R199" s="581" t="s">
        <v>737</v>
      </c>
      <c r="S199" s="581" t="s">
        <v>2567</v>
      </c>
      <c r="U199" s="485" t="s">
        <v>629</v>
      </c>
      <c r="V199" s="485" t="s">
        <v>3594</v>
      </c>
      <c r="X199" s="485"/>
      <c r="Y199" s="485"/>
      <c r="AA199" s="1332"/>
    </row>
    <row r="200" spans="3:28" ht="10.5" customHeight="1">
      <c r="C200" s="420" t="s">
        <v>182</v>
      </c>
      <c r="D200" s="501">
        <v>57700</v>
      </c>
      <c r="E200" s="314"/>
      <c r="F200" s="683"/>
      <c r="G200" s="433" t="s">
        <v>1252</v>
      </c>
      <c r="H200" s="433" t="s">
        <v>1384</v>
      </c>
      <c r="I200" s="681" t="s">
        <v>795</v>
      </c>
      <c r="J200" s="681" t="s">
        <v>2701</v>
      </c>
      <c r="K200" s="687" t="s">
        <v>2664</v>
      </c>
      <c r="L200" s="688" t="s">
        <v>438</v>
      </c>
      <c r="M200" s="689" t="s">
        <v>1239</v>
      </c>
      <c r="N200" s="680" t="s">
        <v>742</v>
      </c>
      <c r="O200" s="325"/>
      <c r="P200" s="185"/>
      <c r="Q200" s="433"/>
      <c r="R200" s="581" t="s">
        <v>739</v>
      </c>
      <c r="S200" s="581" t="s">
        <v>1147</v>
      </c>
      <c r="U200" s="485" t="s">
        <v>565</v>
      </c>
      <c r="V200" s="485" t="s">
        <v>3594</v>
      </c>
      <c r="X200" s="485"/>
      <c r="Y200" s="485"/>
      <c r="AA200" s="1332"/>
    </row>
    <row r="201" spans="3:28" ht="10.5" customHeight="1">
      <c r="C201" s="420" t="s">
        <v>1369</v>
      </c>
      <c r="D201" s="501">
        <v>38800</v>
      </c>
      <c r="E201" s="314"/>
      <c r="F201" s="683"/>
      <c r="G201" s="433" t="s">
        <v>688</v>
      </c>
      <c r="H201" s="433" t="s">
        <v>1360</v>
      </c>
      <c r="I201" s="679" t="s">
        <v>689</v>
      </c>
      <c r="J201" s="679" t="s">
        <v>2700</v>
      </c>
      <c r="K201" s="687" t="s">
        <v>250</v>
      </c>
      <c r="L201" s="688" t="s">
        <v>437</v>
      </c>
      <c r="M201" s="690" t="s">
        <v>2687</v>
      </c>
      <c r="N201" s="680" t="s">
        <v>2301</v>
      </c>
      <c r="O201" s="325"/>
      <c r="P201" s="185"/>
      <c r="Q201" s="433"/>
      <c r="R201" s="682" t="s">
        <v>741</v>
      </c>
      <c r="S201" s="682" t="s">
        <v>2678</v>
      </c>
      <c r="U201" s="485" t="s">
        <v>776</v>
      </c>
      <c r="V201" s="485" t="s">
        <v>3594</v>
      </c>
      <c r="X201" s="485"/>
      <c r="Y201" s="485"/>
      <c r="AA201" s="1333"/>
    </row>
    <row r="202" spans="3:28" ht="10.5" customHeight="1">
      <c r="C202" s="420" t="s">
        <v>183</v>
      </c>
      <c r="D202" s="501">
        <v>52700</v>
      </c>
      <c r="E202" s="314"/>
      <c r="F202" s="683"/>
      <c r="G202" s="433" t="s">
        <v>690</v>
      </c>
      <c r="H202" s="433" t="s">
        <v>1384</v>
      </c>
      <c r="I202" s="681" t="s">
        <v>691</v>
      </c>
      <c r="J202" s="681" t="s">
        <v>2700</v>
      </c>
      <c r="K202" s="687" t="s">
        <v>251</v>
      </c>
      <c r="L202" s="688" t="s">
        <v>437</v>
      </c>
      <c r="M202" s="690" t="s">
        <v>2687</v>
      </c>
      <c r="N202" s="680" t="s">
        <v>2302</v>
      </c>
      <c r="O202" s="325"/>
      <c r="P202" s="185"/>
      <c r="Q202" s="433"/>
      <c r="R202" s="581" t="s">
        <v>2651</v>
      </c>
      <c r="S202" s="581" t="s">
        <v>2569</v>
      </c>
      <c r="U202" s="485" t="s">
        <v>39</v>
      </c>
      <c r="V202" s="485" t="s">
        <v>3594</v>
      </c>
      <c r="X202" s="485"/>
      <c r="Y202" s="485"/>
      <c r="AA202" s="1332"/>
    </row>
    <row r="203" spans="3:28" ht="10.5" customHeight="1">
      <c r="C203" s="420" t="s">
        <v>800</v>
      </c>
      <c r="D203" s="501">
        <v>48000</v>
      </c>
      <c r="E203" s="314"/>
      <c r="F203" s="683"/>
      <c r="G203" s="433" t="s">
        <v>692</v>
      </c>
      <c r="H203" s="433" t="s">
        <v>1257</v>
      </c>
      <c r="I203" s="679" t="s">
        <v>12</v>
      </c>
      <c r="J203" s="679" t="s">
        <v>2701</v>
      </c>
      <c r="K203" s="687" t="s">
        <v>2669</v>
      </c>
      <c r="L203" s="688" t="s">
        <v>438</v>
      </c>
      <c r="M203" s="690" t="s">
        <v>1239</v>
      </c>
      <c r="N203" s="680" t="s">
        <v>2304</v>
      </c>
      <c r="O203" s="325"/>
      <c r="P203" s="185"/>
      <c r="Q203" s="433"/>
      <c r="R203" s="581" t="s">
        <v>2303</v>
      </c>
      <c r="S203" s="581" t="s">
        <v>1725</v>
      </c>
      <c r="U203" s="485" t="s">
        <v>2042</v>
      </c>
      <c r="V203" s="485" t="s">
        <v>3594</v>
      </c>
      <c r="X203" s="485"/>
      <c r="Y203" s="485"/>
      <c r="AA203" s="1332"/>
    </row>
    <row r="204" spans="3:28" ht="10.5" customHeight="1">
      <c r="C204" s="420" t="s">
        <v>1691</v>
      </c>
      <c r="D204" s="501">
        <v>44100</v>
      </c>
      <c r="E204" s="314"/>
      <c r="F204" s="683"/>
      <c r="G204" s="433" t="s">
        <v>693</v>
      </c>
      <c r="H204" s="433" t="s">
        <v>1360</v>
      </c>
      <c r="I204" s="679" t="s">
        <v>694</v>
      </c>
      <c r="J204" s="679" t="s">
        <v>2700</v>
      </c>
      <c r="K204" s="687" t="s">
        <v>252</v>
      </c>
      <c r="L204" s="688" t="s">
        <v>437</v>
      </c>
      <c r="M204" s="690" t="s">
        <v>2687</v>
      </c>
      <c r="N204" s="680" t="s">
        <v>710</v>
      </c>
      <c r="O204" s="325"/>
      <c r="P204" s="185"/>
      <c r="Q204" s="433"/>
      <c r="R204" s="581" t="s">
        <v>2305</v>
      </c>
      <c r="S204" s="581" t="s">
        <v>2672</v>
      </c>
      <c r="U204" s="485" t="s">
        <v>348</v>
      </c>
      <c r="V204" s="485" t="s">
        <v>3594</v>
      </c>
      <c r="X204" s="485"/>
      <c r="Y204" s="485"/>
      <c r="AA204" s="1332"/>
    </row>
    <row r="205" spans="3:28" ht="10.5" customHeight="1">
      <c r="C205" s="420" t="s">
        <v>1693</v>
      </c>
      <c r="D205" s="501">
        <v>45400</v>
      </c>
      <c r="E205" s="314"/>
      <c r="F205" s="683"/>
      <c r="G205" s="433" t="s">
        <v>695</v>
      </c>
      <c r="H205" s="433" t="s">
        <v>1257</v>
      </c>
      <c r="I205" s="679" t="s">
        <v>696</v>
      </c>
      <c r="J205" s="679" t="s">
        <v>2700</v>
      </c>
      <c r="K205" s="687" t="s">
        <v>417</v>
      </c>
      <c r="L205" s="688" t="s">
        <v>437</v>
      </c>
      <c r="M205" s="690" t="s">
        <v>2687</v>
      </c>
      <c r="N205" s="680" t="s">
        <v>821</v>
      </c>
      <c r="O205" s="325"/>
      <c r="P205" s="185"/>
      <c r="Q205" s="433"/>
      <c r="R205" s="581" t="s">
        <v>711</v>
      </c>
      <c r="S205" s="581" t="s">
        <v>763</v>
      </c>
      <c r="U205" s="485" t="s">
        <v>356</v>
      </c>
      <c r="V205" s="485" t="s">
        <v>3594</v>
      </c>
      <c r="X205" s="485"/>
      <c r="Y205" s="485"/>
      <c r="AA205" s="1332"/>
    </row>
    <row r="206" spans="3:28" ht="10.5" customHeight="1">
      <c r="C206" s="420" t="s">
        <v>2120</v>
      </c>
      <c r="D206" s="501">
        <v>61400</v>
      </c>
      <c r="E206" s="314"/>
      <c r="F206" s="683"/>
      <c r="G206" s="433" t="s">
        <v>697</v>
      </c>
      <c r="H206" s="433" t="s">
        <v>1384</v>
      </c>
      <c r="I206" s="679" t="s">
        <v>698</v>
      </c>
      <c r="J206" s="679" t="s">
        <v>2700</v>
      </c>
      <c r="K206" s="687" t="s">
        <v>418</v>
      </c>
      <c r="L206" s="688" t="s">
        <v>437</v>
      </c>
      <c r="M206" s="690" t="s">
        <v>2687</v>
      </c>
      <c r="N206" s="680" t="s">
        <v>2351</v>
      </c>
      <c r="O206" s="325"/>
      <c r="P206" s="185"/>
      <c r="Q206" s="433"/>
      <c r="R206" s="581" t="s">
        <v>2350</v>
      </c>
      <c r="S206" s="581" t="s">
        <v>329</v>
      </c>
      <c r="U206" s="485" t="s">
        <v>201</v>
      </c>
      <c r="V206" s="485" t="s">
        <v>3594</v>
      </c>
      <c r="X206" s="485"/>
      <c r="Y206" s="485"/>
      <c r="AA206" s="1332"/>
    </row>
    <row r="207" spans="3:28" ht="10.5" customHeight="1">
      <c r="C207" s="420" t="s">
        <v>190</v>
      </c>
      <c r="D207" s="501">
        <v>45500</v>
      </c>
      <c r="E207" s="314"/>
      <c r="F207" s="683"/>
      <c r="G207" s="433" t="s">
        <v>123</v>
      </c>
      <c r="H207" s="433" t="s">
        <v>1384</v>
      </c>
      <c r="I207" s="681" t="s">
        <v>795</v>
      </c>
      <c r="J207" s="681" t="s">
        <v>2701</v>
      </c>
      <c r="K207" s="687" t="s">
        <v>2664</v>
      </c>
      <c r="L207" s="688" t="s">
        <v>438</v>
      </c>
      <c r="M207" s="689" t="s">
        <v>1239</v>
      </c>
      <c r="N207" s="680" t="s">
        <v>2380</v>
      </c>
      <c r="O207" s="325"/>
      <c r="P207" s="185"/>
      <c r="Q207" s="433"/>
      <c r="R207" s="581" t="s">
        <v>2412</v>
      </c>
      <c r="S207" s="581" t="s">
        <v>911</v>
      </c>
      <c r="U207" s="485" t="s">
        <v>2233</v>
      </c>
      <c r="V207" s="485" t="s">
        <v>3594</v>
      </c>
      <c r="X207" s="485"/>
      <c r="Y207" s="485"/>
      <c r="AA207" s="1332"/>
    </row>
    <row r="208" spans="3:28" ht="10.5" customHeight="1">
      <c r="C208" s="419" t="s">
        <v>2673</v>
      </c>
      <c r="D208" s="501">
        <v>56600</v>
      </c>
      <c r="E208" s="314"/>
      <c r="F208" s="683"/>
      <c r="G208" s="433" t="s">
        <v>124</v>
      </c>
      <c r="H208" s="433" t="s">
        <v>1360</v>
      </c>
      <c r="I208" s="679" t="s">
        <v>125</v>
      </c>
      <c r="J208" s="679" t="s">
        <v>2700</v>
      </c>
      <c r="K208" s="687" t="s">
        <v>419</v>
      </c>
      <c r="L208" s="688" t="s">
        <v>437</v>
      </c>
      <c r="M208" s="690" t="s">
        <v>2687</v>
      </c>
      <c r="N208" s="680" t="s">
        <v>47</v>
      </c>
      <c r="O208" s="325"/>
      <c r="P208" s="185"/>
      <c r="Q208" s="433"/>
      <c r="R208" s="581" t="s">
        <v>48</v>
      </c>
      <c r="S208" s="581" t="s">
        <v>336</v>
      </c>
      <c r="U208" s="485" t="s">
        <v>202</v>
      </c>
      <c r="V208" s="485" t="s">
        <v>3594</v>
      </c>
      <c r="X208" s="485"/>
      <c r="Y208" s="485"/>
      <c r="AA208" s="1335"/>
    </row>
    <row r="209" spans="3:27" ht="10.5" customHeight="1">
      <c r="C209" s="420" t="s">
        <v>2675</v>
      </c>
      <c r="D209" s="501">
        <v>46400</v>
      </c>
      <c r="E209" s="314"/>
      <c r="F209" s="683"/>
      <c r="G209" s="433" t="s">
        <v>324</v>
      </c>
      <c r="H209" s="433" t="s">
        <v>1360</v>
      </c>
      <c r="I209" s="679" t="s">
        <v>1267</v>
      </c>
      <c r="J209" s="679" t="s">
        <v>2701</v>
      </c>
      <c r="K209" s="687" t="s">
        <v>420</v>
      </c>
      <c r="L209" s="688" t="s">
        <v>438</v>
      </c>
      <c r="M209" s="690" t="s">
        <v>1239</v>
      </c>
      <c r="N209" s="680" t="s">
        <v>657</v>
      </c>
      <c r="O209" s="325"/>
      <c r="P209" s="185"/>
      <c r="Q209" s="433"/>
      <c r="R209" s="581" t="s">
        <v>658</v>
      </c>
      <c r="S209" s="581" t="s">
        <v>2680</v>
      </c>
      <c r="U209" s="485" t="s">
        <v>396</v>
      </c>
      <c r="V209" s="485" t="s">
        <v>3594</v>
      </c>
      <c r="X209" s="485"/>
      <c r="Y209" s="485"/>
      <c r="AA209" s="1332"/>
    </row>
    <row r="210" spans="3:27" ht="10.5" customHeight="1">
      <c r="C210" s="420" t="s">
        <v>1130</v>
      </c>
      <c r="D210" s="501">
        <v>54100</v>
      </c>
      <c r="E210" s="314"/>
      <c r="F210" s="683"/>
      <c r="G210" s="438" t="s">
        <v>325</v>
      </c>
      <c r="H210" s="433" t="s">
        <v>1384</v>
      </c>
      <c r="I210" s="679" t="s">
        <v>326</v>
      </c>
      <c r="J210" s="679" t="s">
        <v>2700</v>
      </c>
      <c r="K210" s="687" t="s">
        <v>421</v>
      </c>
      <c r="L210" s="688" t="s">
        <v>437</v>
      </c>
      <c r="M210" s="690" t="s">
        <v>2687</v>
      </c>
      <c r="N210" s="680" t="s">
        <v>317</v>
      </c>
      <c r="O210" s="325"/>
      <c r="P210" s="185"/>
      <c r="Q210" s="433"/>
      <c r="R210" s="581" t="s">
        <v>318</v>
      </c>
      <c r="S210" s="581" t="s">
        <v>327</v>
      </c>
      <c r="U210" s="485" t="s">
        <v>906</v>
      </c>
      <c r="V210" s="485" t="s">
        <v>3594</v>
      </c>
      <c r="X210" s="485"/>
      <c r="Y210" s="485"/>
      <c r="AA210" s="1332"/>
    </row>
    <row r="211" spans="3:27" ht="10.5" customHeight="1">
      <c r="C211" s="420" t="s">
        <v>1133</v>
      </c>
      <c r="D211" s="501">
        <v>49900</v>
      </c>
      <c r="E211" s="314"/>
      <c r="F211" s="683"/>
      <c r="G211" s="433" t="s">
        <v>327</v>
      </c>
      <c r="H211" s="433" t="s">
        <v>1360</v>
      </c>
      <c r="I211" s="681" t="s">
        <v>797</v>
      </c>
      <c r="J211" s="681" t="s">
        <v>2701</v>
      </c>
      <c r="K211" s="687" t="s">
        <v>422</v>
      </c>
      <c r="L211" s="688" t="s">
        <v>438</v>
      </c>
      <c r="M211" s="689" t="s">
        <v>1239</v>
      </c>
      <c r="N211" s="680" t="s">
        <v>2452</v>
      </c>
      <c r="O211" s="325"/>
      <c r="P211" s="185"/>
      <c r="Q211" s="433"/>
      <c r="R211" s="581" t="s">
        <v>2453</v>
      </c>
      <c r="S211" s="581" t="s">
        <v>202</v>
      </c>
      <c r="U211" s="485" t="s">
        <v>1998</v>
      </c>
      <c r="V211" s="485" t="s">
        <v>3594</v>
      </c>
      <c r="X211" s="485"/>
      <c r="Y211" s="485"/>
      <c r="AA211" s="1332"/>
    </row>
    <row r="212" spans="3:27" ht="10.5" customHeight="1">
      <c r="C212" s="420" t="s">
        <v>1136</v>
      </c>
      <c r="D212" s="501">
        <v>50600</v>
      </c>
      <c r="E212" s="314"/>
      <c r="F212" s="683"/>
      <c r="G212" s="433" t="s">
        <v>328</v>
      </c>
      <c r="H212" s="433" t="s">
        <v>1384</v>
      </c>
      <c r="I212" s="681" t="s">
        <v>166</v>
      </c>
      <c r="J212" s="681" t="s">
        <v>2701</v>
      </c>
      <c r="K212" s="687" t="s">
        <v>1746</v>
      </c>
      <c r="L212" s="688" t="s">
        <v>438</v>
      </c>
      <c r="M212" s="689" t="s">
        <v>1239</v>
      </c>
      <c r="N212" s="680" t="s">
        <v>2477</v>
      </c>
      <c r="O212" s="325"/>
      <c r="P212" s="185"/>
      <c r="Q212" s="433"/>
      <c r="R212" s="581" t="s">
        <v>2478</v>
      </c>
      <c r="S212" s="581" t="s">
        <v>1724</v>
      </c>
      <c r="U212" s="485" t="s">
        <v>2002</v>
      </c>
      <c r="V212" s="485" t="s">
        <v>3594</v>
      </c>
      <c r="X212" s="485"/>
      <c r="Y212" s="485"/>
      <c r="AA212" s="1332"/>
    </row>
    <row r="213" spans="3:27" ht="10.5" customHeight="1">
      <c r="C213" s="419" t="s">
        <v>1138</v>
      </c>
      <c r="D213" s="501">
        <v>47900</v>
      </c>
      <c r="E213" s="314"/>
      <c r="F213" s="683"/>
      <c r="G213" s="433" t="s">
        <v>329</v>
      </c>
      <c r="H213" s="433" t="s">
        <v>1384</v>
      </c>
      <c r="I213" s="679" t="s">
        <v>330</v>
      </c>
      <c r="J213" s="679" t="s">
        <v>2700</v>
      </c>
      <c r="K213" s="687" t="s">
        <v>423</v>
      </c>
      <c r="L213" s="688" t="s">
        <v>437</v>
      </c>
      <c r="M213" s="690" t="s">
        <v>2687</v>
      </c>
      <c r="N213" s="680" t="s">
        <v>2479</v>
      </c>
      <c r="O213" s="325"/>
      <c r="P213" s="185"/>
      <c r="Q213" s="433"/>
      <c r="R213" s="581" t="s">
        <v>2988</v>
      </c>
      <c r="S213" s="581" t="s">
        <v>652</v>
      </c>
      <c r="U213" s="485" t="s">
        <v>745</v>
      </c>
      <c r="V213" s="485" t="s">
        <v>3594</v>
      </c>
      <c r="X213" s="485"/>
      <c r="Y213" s="485"/>
      <c r="AA213" s="1332"/>
    </row>
    <row r="214" spans="3:27" ht="10.5" customHeight="1">
      <c r="C214" s="420" t="s">
        <v>1140</v>
      </c>
      <c r="D214" s="501">
        <v>47500</v>
      </c>
      <c r="E214" s="314"/>
      <c r="F214" s="683"/>
      <c r="G214" s="433" t="s">
        <v>331</v>
      </c>
      <c r="H214" s="433" t="s">
        <v>1384</v>
      </c>
      <c r="I214" s="681" t="s">
        <v>795</v>
      </c>
      <c r="J214" s="681" t="s">
        <v>2701</v>
      </c>
      <c r="K214" s="687" t="s">
        <v>2664</v>
      </c>
      <c r="L214" s="688" t="s">
        <v>438</v>
      </c>
      <c r="M214" s="689" t="s">
        <v>1239</v>
      </c>
      <c r="N214" s="680" t="s">
        <v>2480</v>
      </c>
      <c r="O214" s="325"/>
      <c r="P214" s="185"/>
      <c r="Q214" s="433"/>
      <c r="R214" s="581" t="s">
        <v>653</v>
      </c>
      <c r="S214" s="581" t="s">
        <v>1376</v>
      </c>
      <c r="U214" s="485" t="s">
        <v>1182</v>
      </c>
      <c r="V214" s="485" t="s">
        <v>3594</v>
      </c>
      <c r="X214" s="485"/>
      <c r="Y214" s="485"/>
      <c r="AA214" s="1332"/>
    </row>
    <row r="215" spans="3:27" ht="10.5" customHeight="1">
      <c r="C215" s="420" t="s">
        <v>1142</v>
      </c>
      <c r="D215" s="501">
        <v>40800</v>
      </c>
      <c r="E215" s="314"/>
      <c r="F215" s="683"/>
      <c r="G215" s="433" t="s">
        <v>332</v>
      </c>
      <c r="H215" s="433" t="s">
        <v>1384</v>
      </c>
      <c r="I215" s="681" t="s">
        <v>795</v>
      </c>
      <c r="J215" s="681" t="s">
        <v>2701</v>
      </c>
      <c r="K215" s="687" t="s">
        <v>2664</v>
      </c>
      <c r="L215" s="688" t="s">
        <v>438</v>
      </c>
      <c r="M215" s="689" t="s">
        <v>1239</v>
      </c>
      <c r="N215" s="680" t="s">
        <v>2444</v>
      </c>
      <c r="O215" s="325"/>
      <c r="P215" s="185"/>
      <c r="Q215" s="433"/>
      <c r="R215" s="581" t="s">
        <v>1373</v>
      </c>
      <c r="S215" s="581" t="s">
        <v>683</v>
      </c>
      <c r="U215" s="485" t="s">
        <v>1184</v>
      </c>
      <c r="V215" s="485" t="s">
        <v>3594</v>
      </c>
      <c r="X215" s="485"/>
      <c r="Y215" s="485"/>
      <c r="AA215" s="1332"/>
    </row>
    <row r="216" spans="3:27" ht="10.5" customHeight="1">
      <c r="C216" s="420" t="s">
        <v>1144</v>
      </c>
      <c r="D216" s="501">
        <v>52000</v>
      </c>
      <c r="E216" s="314"/>
      <c r="F216" s="683"/>
      <c r="G216" s="433" t="s">
        <v>333</v>
      </c>
      <c r="H216" s="433" t="s">
        <v>1384</v>
      </c>
      <c r="I216" s="681" t="s">
        <v>1773</v>
      </c>
      <c r="J216" s="681" t="s">
        <v>2701</v>
      </c>
      <c r="K216" s="687" t="s">
        <v>424</v>
      </c>
      <c r="L216" s="688" t="s">
        <v>438</v>
      </c>
      <c r="M216" s="690" t="s">
        <v>1239</v>
      </c>
      <c r="N216" s="680" t="s">
        <v>11</v>
      </c>
      <c r="O216" s="325"/>
      <c r="P216" s="185"/>
      <c r="Q216" s="433"/>
      <c r="R216" s="581" t="s">
        <v>2445</v>
      </c>
      <c r="S216" s="581" t="s">
        <v>2573</v>
      </c>
      <c r="U216" s="485" t="s">
        <v>1186</v>
      </c>
      <c r="V216" s="485" t="s">
        <v>3594</v>
      </c>
      <c r="X216" s="485"/>
      <c r="Y216" s="485"/>
      <c r="AA216" s="1332"/>
    </row>
    <row r="217" spans="3:27" ht="10.5" customHeight="1">
      <c r="C217" s="419" t="s">
        <v>1146</v>
      </c>
      <c r="D217" s="501">
        <v>38800</v>
      </c>
      <c r="E217" s="314"/>
      <c r="F217" s="683"/>
      <c r="G217" s="433" t="s">
        <v>334</v>
      </c>
      <c r="H217" s="433" t="s">
        <v>1257</v>
      </c>
      <c r="I217" s="679" t="s">
        <v>335</v>
      </c>
      <c r="J217" s="679" t="s">
        <v>2700</v>
      </c>
      <c r="K217" s="687" t="s">
        <v>673</v>
      </c>
      <c r="L217" s="688" t="s">
        <v>437</v>
      </c>
      <c r="M217" s="690" t="s">
        <v>2687</v>
      </c>
      <c r="N217" s="680" t="s">
        <v>13</v>
      </c>
      <c r="O217" s="325"/>
      <c r="P217" s="185"/>
      <c r="Q217" s="433"/>
      <c r="R217" s="581" t="s">
        <v>12</v>
      </c>
      <c r="S217" s="581" t="s">
        <v>692</v>
      </c>
      <c r="U217" s="485" t="s">
        <v>2601</v>
      </c>
      <c r="V217" s="485" t="s">
        <v>3594</v>
      </c>
      <c r="X217" s="485"/>
      <c r="Y217" s="485"/>
      <c r="AA217" s="1332"/>
    </row>
    <row r="218" spans="3:27" ht="10.5" customHeight="1">
      <c r="C218" s="419" t="s">
        <v>2348</v>
      </c>
      <c r="D218" s="501">
        <v>49800</v>
      </c>
      <c r="E218" s="314"/>
      <c r="F218" s="683"/>
      <c r="G218" s="433" t="s">
        <v>336</v>
      </c>
      <c r="H218" s="433" t="s">
        <v>1384</v>
      </c>
      <c r="I218" s="679" t="s">
        <v>337</v>
      </c>
      <c r="J218" s="679" t="s">
        <v>2700</v>
      </c>
      <c r="K218" s="687" t="s">
        <v>674</v>
      </c>
      <c r="L218" s="688" t="s">
        <v>437</v>
      </c>
      <c r="M218" s="690" t="s">
        <v>2687</v>
      </c>
      <c r="N218" s="680" t="s">
        <v>58</v>
      </c>
      <c r="O218" s="325"/>
      <c r="P218" s="185"/>
      <c r="Q218" s="433"/>
      <c r="R218" s="581" t="s">
        <v>14</v>
      </c>
      <c r="S218" s="581" t="s">
        <v>327</v>
      </c>
      <c r="U218" s="485" t="s">
        <v>472</v>
      </c>
      <c r="V218" s="485" t="s">
        <v>3594</v>
      </c>
      <c r="X218" s="485"/>
      <c r="Y218" s="485"/>
      <c r="AA218" s="1332"/>
    </row>
    <row r="219" spans="3:27" ht="10.5" customHeight="1">
      <c r="C219" s="420" t="s">
        <v>1375</v>
      </c>
      <c r="D219" s="501">
        <v>61300</v>
      </c>
      <c r="E219" s="314"/>
      <c r="F219" s="683"/>
      <c r="G219" s="433" t="s">
        <v>338</v>
      </c>
      <c r="H219" s="433" t="s">
        <v>1384</v>
      </c>
      <c r="I219" s="681" t="s">
        <v>795</v>
      </c>
      <c r="J219" s="681" t="s">
        <v>2701</v>
      </c>
      <c r="K219" s="687" t="s">
        <v>2664</v>
      </c>
      <c r="L219" s="688" t="s">
        <v>438</v>
      </c>
      <c r="M219" s="689" t="s">
        <v>1239</v>
      </c>
      <c r="N219" s="680" t="s">
        <v>60</v>
      </c>
      <c r="O219" s="325"/>
      <c r="P219" s="185"/>
      <c r="Q219" s="433"/>
      <c r="R219" s="581" t="s">
        <v>59</v>
      </c>
      <c r="S219" s="581" t="s">
        <v>2672</v>
      </c>
      <c r="U219" s="485" t="s">
        <v>314</v>
      </c>
      <c r="V219" s="485" t="s">
        <v>3594</v>
      </c>
      <c r="X219" s="485"/>
      <c r="Y219" s="485"/>
      <c r="AA219" s="1332"/>
    </row>
    <row r="220" spans="3:27" ht="10.5" customHeight="1">
      <c r="C220" s="420" t="s">
        <v>2246</v>
      </c>
      <c r="D220" s="501">
        <v>55900</v>
      </c>
      <c r="E220" s="314"/>
      <c r="F220" s="683"/>
      <c r="G220" s="433" t="s">
        <v>339</v>
      </c>
      <c r="H220" s="433" t="s">
        <v>1257</v>
      </c>
      <c r="I220" s="679" t="s">
        <v>340</v>
      </c>
      <c r="J220" s="679" t="s">
        <v>2700</v>
      </c>
      <c r="K220" s="687" t="s">
        <v>675</v>
      </c>
      <c r="L220" s="688" t="s">
        <v>437</v>
      </c>
      <c r="M220" s="690" t="s">
        <v>2687</v>
      </c>
      <c r="N220" s="680" t="s">
        <v>62</v>
      </c>
      <c r="O220" s="325"/>
      <c r="P220" s="185"/>
      <c r="Q220" s="433"/>
      <c r="R220" s="581" t="s">
        <v>61</v>
      </c>
      <c r="S220" s="581" t="s">
        <v>370</v>
      </c>
      <c r="U220" s="485" t="s">
        <v>1894</v>
      </c>
      <c r="V220" s="485" t="s">
        <v>3594</v>
      </c>
      <c r="X220" s="485"/>
      <c r="Y220" s="485"/>
      <c r="AA220" s="1332"/>
    </row>
    <row r="221" spans="3:27" ht="10.5" customHeight="1">
      <c r="C221" s="420" t="s">
        <v>2248</v>
      </c>
      <c r="D221" s="501">
        <v>50900</v>
      </c>
      <c r="E221" s="314"/>
      <c r="F221" s="683"/>
      <c r="G221" s="433" t="s">
        <v>341</v>
      </c>
      <c r="H221" s="433" t="s">
        <v>1384</v>
      </c>
      <c r="I221" s="679" t="s">
        <v>342</v>
      </c>
      <c r="J221" s="679" t="s">
        <v>2700</v>
      </c>
      <c r="K221" s="687" t="s">
        <v>276</v>
      </c>
      <c r="L221" s="688" t="s">
        <v>437</v>
      </c>
      <c r="M221" s="690" t="s">
        <v>2687</v>
      </c>
      <c r="N221" s="680" t="s">
        <v>364</v>
      </c>
      <c r="O221" s="325"/>
      <c r="P221" s="185"/>
      <c r="Q221" s="433"/>
      <c r="R221" s="581" t="s">
        <v>63</v>
      </c>
      <c r="S221" s="581" t="s">
        <v>123</v>
      </c>
      <c r="U221" s="485" t="s">
        <v>1896</v>
      </c>
      <c r="V221" s="485" t="s">
        <v>3594</v>
      </c>
      <c r="X221" s="485"/>
      <c r="Y221" s="485"/>
      <c r="AA221" s="1332"/>
    </row>
    <row r="222" spans="3:27" ht="10.5" customHeight="1">
      <c r="C222" s="420" t="s">
        <v>2250</v>
      </c>
      <c r="D222" s="501">
        <v>34400</v>
      </c>
      <c r="E222" s="314"/>
      <c r="F222" s="683"/>
      <c r="G222" s="433" t="s">
        <v>343</v>
      </c>
      <c r="H222" s="433" t="s">
        <v>1257</v>
      </c>
      <c r="I222" s="679" t="s">
        <v>344</v>
      </c>
      <c r="J222" s="679" t="s">
        <v>2700</v>
      </c>
      <c r="K222" s="687" t="s">
        <v>277</v>
      </c>
      <c r="L222" s="688" t="s">
        <v>437</v>
      </c>
      <c r="M222" s="690" t="s">
        <v>2687</v>
      </c>
      <c r="N222" s="680" t="s">
        <v>366</v>
      </c>
      <c r="O222" s="325"/>
      <c r="P222" s="185"/>
      <c r="Q222" s="433"/>
      <c r="R222" s="581" t="s">
        <v>365</v>
      </c>
      <c r="S222" s="581" t="s">
        <v>2264</v>
      </c>
      <c r="U222" s="485" t="s">
        <v>1969</v>
      </c>
      <c r="V222" s="485" t="s">
        <v>3594</v>
      </c>
      <c r="X222" s="485"/>
      <c r="Y222" s="485"/>
      <c r="AA222" s="1332"/>
    </row>
    <row r="223" spans="3:27" ht="10.5" customHeight="1">
      <c r="C223" s="420" t="s">
        <v>2253</v>
      </c>
      <c r="D223" s="501">
        <v>47300</v>
      </c>
      <c r="E223" s="314"/>
      <c r="F223" s="683"/>
      <c r="G223" s="433" t="s">
        <v>345</v>
      </c>
      <c r="H223" s="433" t="s">
        <v>1257</v>
      </c>
      <c r="I223" s="679" t="s">
        <v>346</v>
      </c>
      <c r="J223" s="679" t="s">
        <v>2700</v>
      </c>
      <c r="K223" s="687" t="s">
        <v>278</v>
      </c>
      <c r="L223" s="688" t="s">
        <v>437</v>
      </c>
      <c r="M223" s="690" t="s">
        <v>2687</v>
      </c>
      <c r="N223" s="680" t="s">
        <v>368</v>
      </c>
      <c r="O223" s="325"/>
      <c r="P223" s="185"/>
      <c r="Q223" s="433"/>
      <c r="R223" s="581" t="s">
        <v>367</v>
      </c>
      <c r="S223" s="581" t="s">
        <v>987</v>
      </c>
      <c r="U223" s="485" t="s">
        <v>2324</v>
      </c>
      <c r="V223" s="485" t="s">
        <v>3594</v>
      </c>
      <c r="X223" s="485"/>
      <c r="Y223" s="485"/>
      <c r="AA223" s="1332"/>
    </row>
    <row r="224" spans="3:27" ht="10.5" customHeight="1">
      <c r="C224" s="419" t="s">
        <v>2255</v>
      </c>
      <c r="D224" s="501">
        <v>36400</v>
      </c>
      <c r="E224" s="314"/>
      <c r="F224" s="683"/>
      <c r="G224" s="433" t="s">
        <v>443</v>
      </c>
      <c r="H224" s="433" t="s">
        <v>1384</v>
      </c>
      <c r="I224" s="681" t="s">
        <v>1369</v>
      </c>
      <c r="J224" s="681" t="s">
        <v>2701</v>
      </c>
      <c r="K224" s="687" t="s">
        <v>2667</v>
      </c>
      <c r="L224" s="688" t="s">
        <v>438</v>
      </c>
      <c r="M224" s="689" t="s">
        <v>1239</v>
      </c>
      <c r="N224" s="680" t="s">
        <v>2369</v>
      </c>
      <c r="O224" s="325"/>
      <c r="P224" s="185"/>
      <c r="Q224" s="433"/>
      <c r="R224" s="581" t="s">
        <v>369</v>
      </c>
      <c r="S224" s="581" t="s">
        <v>1129</v>
      </c>
      <c r="U224" s="485" t="s">
        <v>434</v>
      </c>
      <c r="V224" s="485" t="s">
        <v>3594</v>
      </c>
      <c r="X224" s="485"/>
      <c r="Y224" s="485"/>
      <c r="AA224" s="1332"/>
    </row>
    <row r="225" spans="3:27" ht="10.5" customHeight="1">
      <c r="C225" s="419" t="s">
        <v>2257</v>
      </c>
      <c r="D225" s="501">
        <v>45100</v>
      </c>
      <c r="E225" s="314"/>
      <c r="F225" s="683"/>
      <c r="G225" s="433" t="s">
        <v>444</v>
      </c>
      <c r="H225" s="433" t="s">
        <v>1384</v>
      </c>
      <c r="I225" s="681" t="s">
        <v>798</v>
      </c>
      <c r="J225" s="681" t="s">
        <v>2701</v>
      </c>
      <c r="K225" s="687" t="s">
        <v>279</v>
      </c>
      <c r="L225" s="688" t="s">
        <v>438</v>
      </c>
      <c r="M225" s="689" t="s">
        <v>1239</v>
      </c>
      <c r="N225" s="680" t="s">
        <v>2371</v>
      </c>
      <c r="O225" s="325"/>
      <c r="P225" s="185"/>
      <c r="Q225" s="433"/>
      <c r="R225" s="581" t="s">
        <v>654</v>
      </c>
      <c r="S225" s="581" t="s">
        <v>1509</v>
      </c>
      <c r="U225" s="485" t="s">
        <v>2361</v>
      </c>
      <c r="V225" s="485" t="s">
        <v>3594</v>
      </c>
      <c r="X225" s="485"/>
      <c r="Y225" s="485"/>
      <c r="AA225" s="1332"/>
    </row>
    <row r="226" spans="3:27" ht="10.5" customHeight="1">
      <c r="C226" s="420" t="s">
        <v>2259</v>
      </c>
      <c r="D226" s="501">
        <v>40900</v>
      </c>
      <c r="E226" s="314"/>
      <c r="F226" s="683"/>
      <c r="G226" s="433" t="s">
        <v>1508</v>
      </c>
      <c r="H226" s="433" t="s">
        <v>1257</v>
      </c>
      <c r="I226" s="679" t="s">
        <v>1760</v>
      </c>
      <c r="J226" s="679" t="s">
        <v>2701</v>
      </c>
      <c r="K226" s="687" t="s">
        <v>2670</v>
      </c>
      <c r="L226" s="688" t="s">
        <v>438</v>
      </c>
      <c r="M226" s="689" t="s">
        <v>1239</v>
      </c>
      <c r="N226" s="680" t="s">
        <v>2372</v>
      </c>
      <c r="O226" s="325"/>
      <c r="P226" s="185"/>
      <c r="Q226" s="433"/>
      <c r="R226" s="581" t="s">
        <v>2370</v>
      </c>
      <c r="S226" s="581" t="s">
        <v>695</v>
      </c>
      <c r="U226" s="485" t="s">
        <v>3584</v>
      </c>
      <c r="V226" s="485" t="s">
        <v>3594</v>
      </c>
      <c r="X226" s="485"/>
      <c r="Y226" s="485"/>
      <c r="AA226" s="1332"/>
    </row>
    <row r="227" spans="3:27" ht="10.5" customHeight="1">
      <c r="C227" s="420" t="s">
        <v>2261</v>
      </c>
      <c r="D227" s="501">
        <v>38800</v>
      </c>
      <c r="E227" s="314"/>
      <c r="F227" s="683"/>
      <c r="G227" s="433" t="s">
        <v>1509</v>
      </c>
      <c r="H227" s="433" t="s">
        <v>1257</v>
      </c>
      <c r="I227" s="679" t="s">
        <v>1510</v>
      </c>
      <c r="J227" s="679" t="s">
        <v>2700</v>
      </c>
      <c r="K227" s="687" t="s">
        <v>280</v>
      </c>
      <c r="L227" s="688" t="s">
        <v>437</v>
      </c>
      <c r="M227" s="690" t="s">
        <v>2687</v>
      </c>
      <c r="N227" s="680" t="s">
        <v>2373</v>
      </c>
      <c r="O227" s="325"/>
      <c r="P227" s="185"/>
      <c r="Q227" s="433"/>
      <c r="R227" s="581" t="s">
        <v>1381</v>
      </c>
      <c r="S227" s="581" t="s">
        <v>693</v>
      </c>
      <c r="U227" s="485" t="s">
        <v>700</v>
      </c>
      <c r="V227" s="485" t="s">
        <v>3594</v>
      </c>
      <c r="X227" s="485"/>
      <c r="Y227" s="485"/>
      <c r="AA227" s="1332"/>
    </row>
    <row r="228" spans="3:27" ht="10.5" customHeight="1">
      <c r="C228" s="420" t="s">
        <v>2263</v>
      </c>
      <c r="D228" s="501">
        <v>50400</v>
      </c>
      <c r="E228" s="314"/>
      <c r="F228" s="683"/>
      <c r="G228" s="433" t="s">
        <v>1511</v>
      </c>
      <c r="H228" s="433" t="s">
        <v>1257</v>
      </c>
      <c r="I228" s="681" t="s">
        <v>1848</v>
      </c>
      <c r="J228" s="681" t="s">
        <v>2701</v>
      </c>
      <c r="K228" s="687" t="s">
        <v>1203</v>
      </c>
      <c r="L228" s="688" t="s">
        <v>438</v>
      </c>
      <c r="M228" s="689" t="s">
        <v>1239</v>
      </c>
      <c r="N228" s="680" t="s">
        <v>1616</v>
      </c>
      <c r="O228" s="325"/>
      <c r="P228" s="185"/>
      <c r="Q228" s="433"/>
      <c r="R228" s="581" t="s">
        <v>2989</v>
      </c>
      <c r="S228" s="581" t="s">
        <v>695</v>
      </c>
      <c r="U228" s="485" t="s">
        <v>2473</v>
      </c>
      <c r="V228" s="485" t="s">
        <v>3594</v>
      </c>
      <c r="X228" s="485"/>
      <c r="Y228" s="485"/>
      <c r="AA228" s="1332"/>
    </row>
    <row r="229" spans="3:27" ht="10.5" customHeight="1">
      <c r="C229" s="420" t="s">
        <v>903</v>
      </c>
      <c r="D229" s="501">
        <v>37900</v>
      </c>
      <c r="E229" s="314"/>
      <c r="F229" s="683"/>
      <c r="G229" s="433" t="s">
        <v>1512</v>
      </c>
      <c r="H229" s="433" t="s">
        <v>1257</v>
      </c>
      <c r="I229" s="679" t="s">
        <v>799</v>
      </c>
      <c r="J229" s="679" t="s">
        <v>2701</v>
      </c>
      <c r="K229" s="687" t="s">
        <v>281</v>
      </c>
      <c r="L229" s="688" t="s">
        <v>438</v>
      </c>
      <c r="M229" s="690" t="s">
        <v>1239</v>
      </c>
      <c r="N229" s="680" t="s">
        <v>1618</v>
      </c>
      <c r="O229" s="325"/>
      <c r="P229" s="185"/>
      <c r="Q229" s="433"/>
      <c r="R229" s="581" t="s">
        <v>2374</v>
      </c>
      <c r="S229" s="581" t="s">
        <v>106</v>
      </c>
      <c r="U229" s="485" t="s">
        <v>229</v>
      </c>
      <c r="V229" s="485" t="s">
        <v>3594</v>
      </c>
      <c r="X229" s="485"/>
      <c r="Y229" s="485"/>
      <c r="AA229" s="1332"/>
    </row>
    <row r="230" spans="3:27" ht="10.5" customHeight="1">
      <c r="C230" s="420" t="s">
        <v>905</v>
      </c>
      <c r="D230" s="501">
        <v>33900</v>
      </c>
      <c r="E230" s="314"/>
      <c r="F230" s="683"/>
      <c r="G230" s="433" t="s">
        <v>1513</v>
      </c>
      <c r="H230" s="433" t="s">
        <v>1384</v>
      </c>
      <c r="I230" s="679" t="s">
        <v>1514</v>
      </c>
      <c r="J230" s="679" t="s">
        <v>2700</v>
      </c>
      <c r="K230" s="687" t="s">
        <v>2610</v>
      </c>
      <c r="L230" s="688" t="s">
        <v>437</v>
      </c>
      <c r="M230" s="690" t="s">
        <v>2687</v>
      </c>
      <c r="N230" s="680" t="s">
        <v>1620</v>
      </c>
      <c r="O230" s="325"/>
      <c r="P230" s="185"/>
      <c r="Q230" s="433"/>
      <c r="R230" s="581" t="s">
        <v>1617</v>
      </c>
      <c r="S230" s="581" t="s">
        <v>1692</v>
      </c>
      <c r="U230" s="485" t="s">
        <v>685</v>
      </c>
      <c r="V230" s="485" t="s">
        <v>3594</v>
      </c>
      <c r="X230" s="485"/>
      <c r="Y230" s="485"/>
      <c r="AA230" s="1332"/>
    </row>
    <row r="231" spans="3:27" ht="10.5" customHeight="1">
      <c r="C231" s="420" t="s">
        <v>1726</v>
      </c>
      <c r="D231" s="501">
        <v>43600</v>
      </c>
      <c r="E231" s="314"/>
      <c r="F231" s="683"/>
      <c r="G231" s="433" t="s">
        <v>1515</v>
      </c>
      <c r="H231" s="433" t="s">
        <v>1257</v>
      </c>
      <c r="I231" s="679" t="s">
        <v>1516</v>
      </c>
      <c r="J231" s="679" t="s">
        <v>2701</v>
      </c>
      <c r="K231" s="687" t="s">
        <v>720</v>
      </c>
      <c r="L231" s="688" t="s">
        <v>438</v>
      </c>
      <c r="M231" s="689" t="s">
        <v>1239</v>
      </c>
      <c r="N231" s="680" t="s">
        <v>1622</v>
      </c>
      <c r="O231" s="325"/>
      <c r="P231" s="185"/>
      <c r="Q231" s="433"/>
      <c r="R231" s="581" t="s">
        <v>2652</v>
      </c>
      <c r="S231" s="581" t="s">
        <v>652</v>
      </c>
      <c r="U231" s="485" t="s">
        <v>243</v>
      </c>
      <c r="V231" s="485" t="s">
        <v>3594</v>
      </c>
      <c r="X231" s="485"/>
      <c r="Y231" s="485"/>
      <c r="AA231" s="1332"/>
    </row>
    <row r="232" spans="3:27" ht="10.5" customHeight="1">
      <c r="C232" s="420" t="s">
        <v>1982</v>
      </c>
      <c r="D232" s="501">
        <v>49700</v>
      </c>
      <c r="E232" s="314"/>
      <c r="F232" s="683"/>
      <c r="G232" s="433" t="s">
        <v>180</v>
      </c>
      <c r="H232" s="433" t="s">
        <v>1257</v>
      </c>
      <c r="I232" s="679" t="s">
        <v>1760</v>
      </c>
      <c r="J232" s="679" t="s">
        <v>2701</v>
      </c>
      <c r="K232" s="687" t="s">
        <v>2670</v>
      </c>
      <c r="L232" s="688" t="s">
        <v>438</v>
      </c>
      <c r="M232" s="690" t="s">
        <v>1239</v>
      </c>
      <c r="N232" s="680" t="s">
        <v>1624</v>
      </c>
      <c r="O232" s="325"/>
      <c r="P232" s="185"/>
      <c r="Q232" s="433"/>
      <c r="R232" s="581" t="s">
        <v>1619</v>
      </c>
      <c r="S232" s="581" t="s">
        <v>686</v>
      </c>
      <c r="U232" s="485" t="s">
        <v>686</v>
      </c>
      <c r="V232" s="485" t="s">
        <v>3594</v>
      </c>
      <c r="X232" s="485"/>
      <c r="Y232" s="485"/>
      <c r="AA232" s="1332"/>
    </row>
    <row r="233" spans="3:27" ht="10.5" customHeight="1">
      <c r="C233" s="419" t="s">
        <v>1984</v>
      </c>
      <c r="D233" s="501">
        <v>50700</v>
      </c>
      <c r="E233" s="314"/>
      <c r="F233" s="683"/>
      <c r="G233" s="433" t="s">
        <v>181</v>
      </c>
      <c r="H233" s="433" t="s">
        <v>1360</v>
      </c>
      <c r="I233" s="681" t="s">
        <v>182</v>
      </c>
      <c r="J233" s="681" t="s">
        <v>2700</v>
      </c>
      <c r="K233" s="687" t="s">
        <v>721</v>
      </c>
      <c r="L233" s="688" t="s">
        <v>437</v>
      </c>
      <c r="M233" s="690" t="s">
        <v>2687</v>
      </c>
      <c r="N233" s="680" t="s">
        <v>1808</v>
      </c>
      <c r="O233" s="325"/>
      <c r="P233" s="185"/>
      <c r="Q233" s="433"/>
      <c r="R233" s="581" t="s">
        <v>2990</v>
      </c>
      <c r="S233" s="581" t="s">
        <v>2322</v>
      </c>
      <c r="U233" s="485" t="s">
        <v>819</v>
      </c>
      <c r="V233" s="485" t="s">
        <v>3594</v>
      </c>
      <c r="X233" s="485"/>
      <c r="Y233" s="485"/>
      <c r="AA233" s="1332"/>
    </row>
    <row r="234" spans="3:27" ht="10.5" customHeight="1">
      <c r="C234" s="419" t="s">
        <v>1986</v>
      </c>
      <c r="D234" s="501">
        <v>47900</v>
      </c>
      <c r="E234" s="314"/>
      <c r="F234" s="683"/>
      <c r="G234" s="433" t="s">
        <v>1369</v>
      </c>
      <c r="H234" s="433" t="s">
        <v>1384</v>
      </c>
      <c r="I234" s="679" t="s">
        <v>183</v>
      </c>
      <c r="J234" s="679" t="s">
        <v>2700</v>
      </c>
      <c r="K234" s="687" t="s">
        <v>722</v>
      </c>
      <c r="L234" s="688" t="s">
        <v>437</v>
      </c>
      <c r="M234" s="690" t="s">
        <v>2687</v>
      </c>
      <c r="N234" s="680" t="s">
        <v>1810</v>
      </c>
      <c r="O234" s="325"/>
      <c r="P234" s="185"/>
      <c r="Q234" s="433"/>
      <c r="R234" s="581" t="s">
        <v>1621</v>
      </c>
      <c r="S234" s="581" t="s">
        <v>169</v>
      </c>
      <c r="U234" s="485" t="s">
        <v>3585</v>
      </c>
      <c r="V234" s="485" t="s">
        <v>3594</v>
      </c>
      <c r="X234" s="485"/>
      <c r="Y234" s="485"/>
      <c r="AA234" s="1332"/>
    </row>
    <row r="235" spans="3:27" ht="10.5" customHeight="1">
      <c r="C235" s="419" t="s">
        <v>1988</v>
      </c>
      <c r="D235" s="501">
        <v>52000</v>
      </c>
      <c r="E235" s="314"/>
      <c r="F235" s="683"/>
      <c r="G235" s="433" t="s">
        <v>184</v>
      </c>
      <c r="H235" s="433" t="s">
        <v>1384</v>
      </c>
      <c r="I235" s="679" t="s">
        <v>2121</v>
      </c>
      <c r="J235" s="679" t="s">
        <v>2701</v>
      </c>
      <c r="K235" s="687" t="s">
        <v>644</v>
      </c>
      <c r="L235" s="688" t="s">
        <v>438</v>
      </c>
      <c r="M235" s="689" t="s">
        <v>1239</v>
      </c>
      <c r="N235" s="680" t="s">
        <v>1812</v>
      </c>
      <c r="O235" s="325"/>
      <c r="P235" s="185"/>
      <c r="Q235" s="433"/>
      <c r="R235" s="581" t="s">
        <v>1623</v>
      </c>
      <c r="S235" s="581" t="s">
        <v>1362</v>
      </c>
      <c r="U235" s="485" t="s">
        <v>3586</v>
      </c>
      <c r="V235" s="485" t="s">
        <v>3594</v>
      </c>
      <c r="X235" s="485"/>
      <c r="Y235" s="485"/>
      <c r="AA235" s="1332"/>
    </row>
    <row r="236" spans="3:27" ht="10.5" customHeight="1">
      <c r="C236" s="419" t="s">
        <v>1990</v>
      </c>
      <c r="D236" s="501">
        <v>52700</v>
      </c>
      <c r="E236" s="314"/>
      <c r="F236" s="683"/>
      <c r="G236" s="433" t="s">
        <v>370</v>
      </c>
      <c r="H236" s="433" t="s">
        <v>1384</v>
      </c>
      <c r="I236" s="681" t="s">
        <v>166</v>
      </c>
      <c r="J236" s="681" t="s">
        <v>2701</v>
      </c>
      <c r="K236" s="687" t="s">
        <v>1746</v>
      </c>
      <c r="L236" s="688" t="s">
        <v>438</v>
      </c>
      <c r="M236" s="689" t="s">
        <v>1239</v>
      </c>
      <c r="N236" s="680" t="s">
        <v>1060</v>
      </c>
      <c r="O236" s="325"/>
      <c r="P236" s="185"/>
      <c r="Q236" s="433"/>
      <c r="R236" s="581" t="s">
        <v>1625</v>
      </c>
      <c r="S236" s="581" t="s">
        <v>184</v>
      </c>
      <c r="U236" s="485" t="s">
        <v>1267</v>
      </c>
      <c r="V236" s="485" t="s">
        <v>3594</v>
      </c>
      <c r="X236" s="485"/>
      <c r="Y236" s="485"/>
      <c r="AA236" s="1332"/>
    </row>
    <row r="237" spans="3:27" ht="10.5" customHeight="1">
      <c r="C237" s="419" t="s">
        <v>1992</v>
      </c>
      <c r="D237" s="501">
        <v>37500</v>
      </c>
      <c r="E237" s="314"/>
      <c r="F237" s="683"/>
      <c r="G237" s="433" t="s">
        <v>1950</v>
      </c>
      <c r="H237" s="433" t="s">
        <v>1384</v>
      </c>
      <c r="I237" s="681" t="s">
        <v>796</v>
      </c>
      <c r="J237" s="681" t="s">
        <v>2701</v>
      </c>
      <c r="K237" s="687" t="s">
        <v>2686</v>
      </c>
      <c r="L237" s="688" t="s">
        <v>438</v>
      </c>
      <c r="M237" s="689" t="s">
        <v>1239</v>
      </c>
      <c r="N237" s="680" t="s">
        <v>1061</v>
      </c>
      <c r="O237" s="325"/>
      <c r="P237" s="185"/>
      <c r="Q237" s="433"/>
      <c r="R237" s="581" t="s">
        <v>1809</v>
      </c>
      <c r="S237" s="581" t="s">
        <v>686</v>
      </c>
      <c r="U237" s="485" t="s">
        <v>706</v>
      </c>
      <c r="V237" s="485" t="s">
        <v>3594</v>
      </c>
      <c r="X237" s="485"/>
      <c r="Y237" s="485"/>
      <c r="AA237" s="1332"/>
    </row>
    <row r="238" spans="3:27" ht="10.5" customHeight="1">
      <c r="C238" s="420" t="s">
        <v>1995</v>
      </c>
      <c r="D238" s="501">
        <v>51300</v>
      </c>
      <c r="E238" s="314"/>
      <c r="F238" s="683"/>
      <c r="G238" s="433" t="s">
        <v>1951</v>
      </c>
      <c r="H238" s="433" t="s">
        <v>1257</v>
      </c>
      <c r="I238" s="679" t="s">
        <v>12</v>
      </c>
      <c r="J238" s="679" t="s">
        <v>2701</v>
      </c>
      <c r="K238" s="687" t="s">
        <v>2669</v>
      </c>
      <c r="L238" s="688" t="s">
        <v>438</v>
      </c>
      <c r="M238" s="689" t="s">
        <v>1239</v>
      </c>
      <c r="N238" s="680" t="s">
        <v>247</v>
      </c>
      <c r="O238" s="325"/>
      <c r="P238" s="185"/>
      <c r="Q238" s="433"/>
      <c r="R238" s="581" t="s">
        <v>1811</v>
      </c>
      <c r="S238" s="581" t="s">
        <v>763</v>
      </c>
      <c r="U238" s="485" t="s">
        <v>693</v>
      </c>
      <c r="V238" s="485" t="s">
        <v>3594</v>
      </c>
      <c r="X238" s="485"/>
      <c r="Y238" s="485"/>
      <c r="AA238" s="1332"/>
    </row>
    <row r="239" spans="3:27" ht="10.5" customHeight="1">
      <c r="C239" s="419" t="s">
        <v>2082</v>
      </c>
      <c r="D239" s="501">
        <v>45000</v>
      </c>
      <c r="E239" s="314"/>
      <c r="F239" s="683"/>
      <c r="G239" s="433" t="s">
        <v>1952</v>
      </c>
      <c r="H239" s="433" t="s">
        <v>1384</v>
      </c>
      <c r="I239" s="681" t="s">
        <v>800</v>
      </c>
      <c r="J239" s="681" t="s">
        <v>2701</v>
      </c>
      <c r="K239" s="687" t="s">
        <v>723</v>
      </c>
      <c r="L239" s="688" t="s">
        <v>438</v>
      </c>
      <c r="M239" s="689" t="s">
        <v>1239</v>
      </c>
      <c r="N239" s="680" t="s">
        <v>249</v>
      </c>
      <c r="O239" s="325"/>
      <c r="P239" s="185"/>
      <c r="Q239" s="433"/>
      <c r="R239" s="581" t="s">
        <v>1059</v>
      </c>
      <c r="S239" s="581" t="s">
        <v>1363</v>
      </c>
      <c r="U239" s="485" t="s">
        <v>1017</v>
      </c>
      <c r="V239" s="485" t="s">
        <v>3594</v>
      </c>
      <c r="X239" s="485"/>
      <c r="Y239" s="485"/>
      <c r="AA239" s="1332"/>
    </row>
    <row r="240" spans="3:27" ht="10.5" customHeight="1">
      <c r="C240" s="419" t="s">
        <v>1760</v>
      </c>
      <c r="D240" s="501">
        <v>50400</v>
      </c>
      <c r="E240" s="314"/>
      <c r="F240" s="683"/>
      <c r="G240" s="433" t="s">
        <v>1690</v>
      </c>
      <c r="H240" s="433" t="s">
        <v>1257</v>
      </c>
      <c r="I240" s="679" t="s">
        <v>1691</v>
      </c>
      <c r="J240" s="679" t="s">
        <v>2700</v>
      </c>
      <c r="K240" s="687" t="s">
        <v>724</v>
      </c>
      <c r="L240" s="688" t="s">
        <v>437</v>
      </c>
      <c r="M240" s="690" t="s">
        <v>2687</v>
      </c>
      <c r="N240" s="680" t="s">
        <v>1310</v>
      </c>
      <c r="O240" s="325"/>
      <c r="P240" s="185"/>
      <c r="Q240" s="433"/>
      <c r="R240" s="581" t="s">
        <v>1062</v>
      </c>
      <c r="S240" s="581" t="s">
        <v>684</v>
      </c>
      <c r="U240" s="485" t="s">
        <v>1021</v>
      </c>
      <c r="V240" s="485" t="s">
        <v>3594</v>
      </c>
      <c r="X240" s="485"/>
      <c r="Y240" s="485"/>
      <c r="AA240" s="1332"/>
    </row>
    <row r="241" spans="3:27" ht="10.5" customHeight="1">
      <c r="C241" s="420" t="s">
        <v>105</v>
      </c>
      <c r="D241" s="501">
        <v>49200</v>
      </c>
      <c r="E241" s="314"/>
      <c r="F241" s="683"/>
      <c r="G241" s="433" t="s">
        <v>1692</v>
      </c>
      <c r="H241" s="433" t="s">
        <v>1257</v>
      </c>
      <c r="I241" s="679" t="s">
        <v>1693</v>
      </c>
      <c r="J241" s="679" t="s">
        <v>2700</v>
      </c>
      <c r="K241" s="687" t="s">
        <v>725</v>
      </c>
      <c r="L241" s="688" t="s">
        <v>437</v>
      </c>
      <c r="M241" s="690" t="s">
        <v>2687</v>
      </c>
      <c r="N241" s="680" t="s">
        <v>2137</v>
      </c>
      <c r="O241" s="325"/>
      <c r="P241" s="185"/>
      <c r="Q241" s="433"/>
      <c r="R241" s="581" t="s">
        <v>248</v>
      </c>
      <c r="S241" s="581" t="s">
        <v>2617</v>
      </c>
      <c r="U241" s="485" t="s">
        <v>1023</v>
      </c>
      <c r="V241" s="485" t="s">
        <v>3594</v>
      </c>
      <c r="X241" s="485"/>
      <c r="Y241" s="485"/>
      <c r="AA241" s="1332"/>
    </row>
    <row r="242" spans="3:27" ht="10.5" customHeight="1">
      <c r="C242" s="419" t="s">
        <v>1773</v>
      </c>
      <c r="D242" s="501">
        <v>71800</v>
      </c>
      <c r="E242" s="314"/>
      <c r="F242" s="683"/>
      <c r="G242" s="433" t="s">
        <v>1694</v>
      </c>
      <c r="H242" s="433" t="s">
        <v>1384</v>
      </c>
      <c r="I242" s="681" t="s">
        <v>2120</v>
      </c>
      <c r="J242" s="681" t="s">
        <v>2701</v>
      </c>
      <c r="K242" s="687" t="s">
        <v>726</v>
      </c>
      <c r="L242" s="688" t="s">
        <v>438</v>
      </c>
      <c r="M242" s="689" t="s">
        <v>1239</v>
      </c>
      <c r="N242" s="680" t="s">
        <v>2139</v>
      </c>
      <c r="O242" s="325"/>
      <c r="P242" s="185"/>
      <c r="Q242" s="433"/>
      <c r="R242" s="581" t="s">
        <v>2991</v>
      </c>
      <c r="S242" s="581" t="s">
        <v>907</v>
      </c>
      <c r="U242" s="485" t="s">
        <v>595</v>
      </c>
      <c r="V242" s="485" t="s">
        <v>3594</v>
      </c>
      <c r="X242" s="485"/>
      <c r="Y242" s="485"/>
      <c r="AA242" s="1332"/>
    </row>
    <row r="243" spans="3:27" ht="10.5" customHeight="1">
      <c r="C243" s="419" t="s">
        <v>107</v>
      </c>
      <c r="D243" s="501">
        <v>40400</v>
      </c>
      <c r="F243" s="683"/>
      <c r="G243" s="433" t="s">
        <v>189</v>
      </c>
      <c r="H243" s="433" t="s">
        <v>1257</v>
      </c>
      <c r="I243" s="679" t="s">
        <v>190</v>
      </c>
      <c r="J243" s="679" t="s">
        <v>2700</v>
      </c>
      <c r="K243" s="687" t="s">
        <v>727</v>
      </c>
      <c r="L243" s="688" t="s">
        <v>437</v>
      </c>
      <c r="M243" s="690" t="s">
        <v>2687</v>
      </c>
      <c r="N243" s="680" t="s">
        <v>2141</v>
      </c>
      <c r="O243" s="325"/>
      <c r="P243" s="185"/>
      <c r="Q243" s="433"/>
      <c r="R243" s="682" t="s">
        <v>1824</v>
      </c>
      <c r="S243" s="682" t="s">
        <v>1135</v>
      </c>
      <c r="U243" s="485" t="s">
        <v>386</v>
      </c>
      <c r="V243" s="485" t="s">
        <v>3594</v>
      </c>
      <c r="X243" s="485"/>
      <c r="Y243" s="485"/>
      <c r="AA243" s="1332"/>
    </row>
    <row r="244" spans="3:27" ht="10.5" customHeight="1">
      <c r="C244" s="419" t="s">
        <v>109</v>
      </c>
      <c r="D244" s="501">
        <v>49300</v>
      </c>
      <c r="F244" s="683"/>
      <c r="G244" s="433" t="s">
        <v>2672</v>
      </c>
      <c r="H244" s="433" t="s">
        <v>1384</v>
      </c>
      <c r="I244" s="681" t="s">
        <v>2673</v>
      </c>
      <c r="J244" s="681" t="s">
        <v>2700</v>
      </c>
      <c r="K244" s="687" t="s">
        <v>728</v>
      </c>
      <c r="L244" s="688" t="s">
        <v>437</v>
      </c>
      <c r="M244" s="690" t="s">
        <v>2687</v>
      </c>
      <c r="N244" s="680" t="s">
        <v>2143</v>
      </c>
      <c r="O244" s="325"/>
      <c r="P244" s="185"/>
      <c r="Q244" s="433"/>
      <c r="R244" s="581" t="s">
        <v>2138</v>
      </c>
      <c r="S244" s="581" t="s">
        <v>333</v>
      </c>
      <c r="U244" s="485" t="s">
        <v>1652</v>
      </c>
      <c r="V244" s="485" t="s">
        <v>3594</v>
      </c>
      <c r="X244" s="485"/>
      <c r="Y244" s="485"/>
      <c r="AA244" s="1333"/>
    </row>
    <row r="245" spans="3:27" ht="10.5" customHeight="1">
      <c r="C245" s="419" t="s">
        <v>111</v>
      </c>
      <c r="D245" s="501">
        <v>46700</v>
      </c>
      <c r="F245" s="683"/>
      <c r="G245" s="433" t="s">
        <v>2674</v>
      </c>
      <c r="H245" s="433" t="s">
        <v>1360</v>
      </c>
      <c r="I245" s="679" t="s">
        <v>2675</v>
      </c>
      <c r="J245" s="679" t="s">
        <v>2701</v>
      </c>
      <c r="K245" s="687" t="s">
        <v>2026</v>
      </c>
      <c r="L245" s="688" t="s">
        <v>438</v>
      </c>
      <c r="M245" s="689" t="s">
        <v>1239</v>
      </c>
      <c r="N245" s="680" t="s">
        <v>2145</v>
      </c>
      <c r="O245" s="325"/>
      <c r="P245" s="185"/>
      <c r="Q245" s="433"/>
      <c r="R245" s="581" t="s">
        <v>2140</v>
      </c>
      <c r="S245" s="581" t="s">
        <v>331</v>
      </c>
      <c r="U245" s="485" t="s">
        <v>1045</v>
      </c>
      <c r="V245" s="485" t="s">
        <v>3594</v>
      </c>
      <c r="X245" s="485"/>
      <c r="Y245" s="485"/>
      <c r="AA245" s="1332"/>
    </row>
    <row r="246" spans="3:27" ht="10.5" customHeight="1">
      <c r="C246" s="419" t="s">
        <v>113</v>
      </c>
      <c r="D246" s="501">
        <v>52200</v>
      </c>
      <c r="F246" s="683"/>
      <c r="G246" s="433" t="s">
        <v>2676</v>
      </c>
      <c r="H246" s="433" t="s">
        <v>1384</v>
      </c>
      <c r="I246" s="681" t="s">
        <v>166</v>
      </c>
      <c r="J246" s="681" t="s">
        <v>2701</v>
      </c>
      <c r="K246" s="687" t="s">
        <v>1746</v>
      </c>
      <c r="L246" s="688" t="s">
        <v>438</v>
      </c>
      <c r="M246" s="690" t="s">
        <v>1239</v>
      </c>
      <c r="N246" s="680" t="s">
        <v>2147</v>
      </c>
      <c r="O246" s="325"/>
      <c r="P246" s="185"/>
      <c r="Q246" s="433"/>
      <c r="R246" s="581" t="s">
        <v>2142</v>
      </c>
      <c r="S246" s="581" t="s">
        <v>652</v>
      </c>
      <c r="U246" s="485" t="s">
        <v>1047</v>
      </c>
      <c r="V246" s="485" t="s">
        <v>3594</v>
      </c>
      <c r="X246" s="485"/>
      <c r="Y246" s="485"/>
      <c r="AA246" s="1332"/>
    </row>
    <row r="247" spans="3:27" ht="10.5" customHeight="1">
      <c r="C247" s="419" t="s">
        <v>115</v>
      </c>
      <c r="D247" s="501">
        <v>37400</v>
      </c>
      <c r="F247" s="683"/>
      <c r="G247" s="433" t="s">
        <v>2677</v>
      </c>
      <c r="H247" s="433" t="s">
        <v>1384</v>
      </c>
      <c r="I247" s="681" t="s">
        <v>795</v>
      </c>
      <c r="J247" s="681" t="s">
        <v>2701</v>
      </c>
      <c r="K247" s="687" t="s">
        <v>2664</v>
      </c>
      <c r="L247" s="688" t="s">
        <v>438</v>
      </c>
      <c r="M247" s="689" t="s">
        <v>1239</v>
      </c>
      <c r="N247" s="680" t="s">
        <v>701</v>
      </c>
      <c r="O247" s="325"/>
      <c r="P247" s="185"/>
      <c r="Q247" s="433"/>
      <c r="R247" s="581" t="s">
        <v>2144</v>
      </c>
      <c r="S247" s="581" t="s">
        <v>2674</v>
      </c>
      <c r="U247" s="485" t="s">
        <v>1743</v>
      </c>
      <c r="V247" s="485" t="s">
        <v>3594</v>
      </c>
      <c r="X247" s="485"/>
      <c r="Y247" s="485"/>
      <c r="AA247" s="1332"/>
    </row>
    <row r="248" spans="3:27" ht="10.5" customHeight="1">
      <c r="C248" s="419" t="s">
        <v>117</v>
      </c>
      <c r="D248" s="501">
        <v>54200</v>
      </c>
      <c r="F248" s="683"/>
      <c r="G248" s="433" t="s">
        <v>2678</v>
      </c>
      <c r="H248" s="433" t="s">
        <v>1384</v>
      </c>
      <c r="I248" s="679" t="s">
        <v>2121</v>
      </c>
      <c r="J248" s="679" t="s">
        <v>2701</v>
      </c>
      <c r="K248" s="687" t="s">
        <v>644</v>
      </c>
      <c r="L248" s="688" t="s">
        <v>438</v>
      </c>
      <c r="M248" s="689" t="s">
        <v>1239</v>
      </c>
      <c r="N248" s="680" t="s">
        <v>2409</v>
      </c>
      <c r="O248" s="325"/>
      <c r="P248" s="185"/>
      <c r="Q248" s="433"/>
      <c r="R248" s="581" t="s">
        <v>715</v>
      </c>
      <c r="S248" s="581" t="s">
        <v>1252</v>
      </c>
      <c r="U248" s="485" t="s">
        <v>898</v>
      </c>
      <c r="V248" s="485" t="s">
        <v>3594</v>
      </c>
      <c r="X248" s="485"/>
      <c r="Y248" s="485"/>
      <c r="AA248" s="1332"/>
    </row>
    <row r="249" spans="3:27" ht="10.5" customHeight="1">
      <c r="C249" s="419" t="s">
        <v>2481</v>
      </c>
      <c r="D249" s="501">
        <v>41900</v>
      </c>
      <c r="F249" s="683"/>
      <c r="G249" s="433" t="s">
        <v>2679</v>
      </c>
      <c r="H249" s="433" t="s">
        <v>1384</v>
      </c>
      <c r="I249" s="679" t="s">
        <v>2121</v>
      </c>
      <c r="J249" s="679" t="s">
        <v>2701</v>
      </c>
      <c r="K249" s="687" t="s">
        <v>644</v>
      </c>
      <c r="L249" s="688" t="s">
        <v>438</v>
      </c>
      <c r="M249" s="689" t="s">
        <v>1239</v>
      </c>
      <c r="N249" s="680" t="s">
        <v>2410</v>
      </c>
      <c r="O249" s="325"/>
      <c r="P249" s="185"/>
      <c r="Q249" s="433"/>
      <c r="R249" s="581" t="s">
        <v>2653</v>
      </c>
      <c r="S249" s="581" t="s">
        <v>2083</v>
      </c>
      <c r="U249" s="485" t="s">
        <v>1806</v>
      </c>
      <c r="V249" s="485" t="s">
        <v>3594</v>
      </c>
      <c r="X249" s="485"/>
      <c r="Y249" s="485"/>
      <c r="AA249" s="1332"/>
    </row>
    <row r="250" spans="3:27" ht="10.5" customHeight="1">
      <c r="C250" s="419" t="s">
        <v>2483</v>
      </c>
      <c r="D250" s="501">
        <v>39100</v>
      </c>
      <c r="F250" s="683"/>
      <c r="G250" s="433" t="s">
        <v>2680</v>
      </c>
      <c r="H250" s="433" t="s">
        <v>1360</v>
      </c>
      <c r="I250" s="681" t="s">
        <v>795</v>
      </c>
      <c r="J250" s="681" t="s">
        <v>2701</v>
      </c>
      <c r="K250" s="687" t="s">
        <v>2664</v>
      </c>
      <c r="L250" s="688" t="s">
        <v>438</v>
      </c>
      <c r="M250" s="689" t="s">
        <v>1239</v>
      </c>
      <c r="N250" s="680" t="s">
        <v>1293</v>
      </c>
      <c r="O250" s="325"/>
      <c r="P250" s="185"/>
      <c r="Q250" s="433"/>
      <c r="R250" s="581" t="s">
        <v>2146</v>
      </c>
      <c r="S250" s="581" t="s">
        <v>205</v>
      </c>
      <c r="U250" s="485" t="s">
        <v>655</v>
      </c>
      <c r="V250" s="485" t="s">
        <v>3594</v>
      </c>
      <c r="X250" s="485"/>
      <c r="Y250" s="485"/>
      <c r="AA250" s="1332"/>
    </row>
    <row r="251" spans="3:27" ht="10.5" customHeight="1">
      <c r="C251" s="419" t="s">
        <v>2485</v>
      </c>
      <c r="D251" s="501">
        <v>51700</v>
      </c>
      <c r="F251" s="683"/>
      <c r="G251" s="433" t="s">
        <v>1129</v>
      </c>
      <c r="H251" s="433" t="s">
        <v>1384</v>
      </c>
      <c r="I251" s="681" t="s">
        <v>1130</v>
      </c>
      <c r="J251" s="681" t="s">
        <v>2700</v>
      </c>
      <c r="K251" s="687" t="s">
        <v>2027</v>
      </c>
      <c r="L251" s="688" t="s">
        <v>437</v>
      </c>
      <c r="M251" s="690" t="s">
        <v>2687</v>
      </c>
      <c r="N251" s="680" t="s">
        <v>1295</v>
      </c>
      <c r="O251" s="325"/>
      <c r="P251" s="185"/>
      <c r="Q251" s="433"/>
      <c r="R251" s="581" t="s">
        <v>2992</v>
      </c>
      <c r="S251" s="581" t="s">
        <v>688</v>
      </c>
      <c r="U251" s="485" t="s">
        <v>2368</v>
      </c>
      <c r="V251" s="485" t="s">
        <v>3594</v>
      </c>
      <c r="X251" s="485"/>
      <c r="Y251" s="485"/>
      <c r="AA251" s="1332"/>
    </row>
    <row r="252" spans="3:27" ht="10.5" customHeight="1">
      <c r="F252" s="683"/>
      <c r="G252" s="433" t="s">
        <v>1131</v>
      </c>
      <c r="H252" s="433" t="s">
        <v>1360</v>
      </c>
      <c r="I252" s="681" t="s">
        <v>795</v>
      </c>
      <c r="J252" s="681" t="s">
        <v>2701</v>
      </c>
      <c r="K252" s="687" t="s">
        <v>2664</v>
      </c>
      <c r="L252" s="688" t="s">
        <v>438</v>
      </c>
      <c r="M252" s="689" t="s">
        <v>1239</v>
      </c>
      <c r="N252" s="680" t="s">
        <v>1297</v>
      </c>
      <c r="O252" s="325"/>
      <c r="P252" s="185"/>
      <c r="Q252" s="433"/>
      <c r="R252" s="581" t="s">
        <v>2148</v>
      </c>
      <c r="S252" s="581" t="s">
        <v>205</v>
      </c>
      <c r="U252" s="485" t="s">
        <v>1070</v>
      </c>
      <c r="V252" s="485" t="s">
        <v>3594</v>
      </c>
      <c r="AA252" s="1332"/>
    </row>
    <row r="253" spans="3:27" ht="10.5" customHeight="1">
      <c r="F253" s="683"/>
      <c r="G253" s="433" t="s">
        <v>1132</v>
      </c>
      <c r="H253" s="433" t="s">
        <v>1257</v>
      </c>
      <c r="I253" s="679" t="s">
        <v>1133</v>
      </c>
      <c r="J253" s="679" t="s">
        <v>2700</v>
      </c>
      <c r="K253" s="687" t="s">
        <v>2028</v>
      </c>
      <c r="L253" s="688" t="s">
        <v>437</v>
      </c>
      <c r="M253" s="690" t="s">
        <v>2687</v>
      </c>
      <c r="N253" s="680" t="s">
        <v>1298</v>
      </c>
      <c r="O253" s="325"/>
      <c r="P253" s="185"/>
      <c r="Q253" s="433"/>
      <c r="R253" s="581" t="s">
        <v>702</v>
      </c>
      <c r="S253" s="581" t="s">
        <v>2083</v>
      </c>
      <c r="U253" s="485" t="s">
        <v>2018</v>
      </c>
      <c r="V253" s="485" t="s">
        <v>3594</v>
      </c>
      <c r="AA253" s="1332"/>
    </row>
    <row r="254" spans="3:27" ht="10.5" customHeight="1">
      <c r="F254" s="683"/>
      <c r="G254" s="433" t="s">
        <v>1134</v>
      </c>
      <c r="H254" s="433" t="s">
        <v>1384</v>
      </c>
      <c r="I254" s="681" t="s">
        <v>795</v>
      </c>
      <c r="J254" s="681" t="s">
        <v>2701</v>
      </c>
      <c r="K254" s="687" t="s">
        <v>2664</v>
      </c>
      <c r="L254" s="688" t="s">
        <v>438</v>
      </c>
      <c r="M254" s="689" t="s">
        <v>1239</v>
      </c>
      <c r="N254" s="680" t="s">
        <v>1300</v>
      </c>
      <c r="O254" s="325"/>
      <c r="P254" s="185"/>
      <c r="Q254" s="433"/>
      <c r="R254" s="581" t="s">
        <v>2411</v>
      </c>
      <c r="S254" s="581" t="s">
        <v>124</v>
      </c>
      <c r="U254" s="485" t="s">
        <v>510</v>
      </c>
      <c r="V254" s="485" t="s">
        <v>3594</v>
      </c>
      <c r="AA254" s="1332"/>
    </row>
    <row r="255" spans="3:27" ht="10.5" customHeight="1">
      <c r="F255" s="683"/>
      <c r="G255" s="433" t="s">
        <v>1135</v>
      </c>
      <c r="H255" s="433" t="s">
        <v>1360</v>
      </c>
      <c r="I255" s="679" t="s">
        <v>1136</v>
      </c>
      <c r="J255" s="679" t="s">
        <v>2700</v>
      </c>
      <c r="K255" s="687" t="s">
        <v>2029</v>
      </c>
      <c r="L255" s="688" t="s">
        <v>437</v>
      </c>
      <c r="M255" s="690" t="s">
        <v>2687</v>
      </c>
      <c r="N255" s="680" t="s">
        <v>2580</v>
      </c>
      <c r="O255" s="325"/>
      <c r="P255" s="185"/>
      <c r="Q255" s="433"/>
      <c r="R255" s="581" t="s">
        <v>1294</v>
      </c>
      <c r="S255" s="581" t="s">
        <v>652</v>
      </c>
      <c r="U255" s="485" t="s">
        <v>1705</v>
      </c>
      <c r="V255" s="485" t="s">
        <v>3594</v>
      </c>
      <c r="AA255" s="1332"/>
    </row>
    <row r="256" spans="3:27" ht="10.5" customHeight="1">
      <c r="F256" s="683"/>
      <c r="G256" s="433" t="s">
        <v>1137</v>
      </c>
      <c r="H256" s="433" t="s">
        <v>1257</v>
      </c>
      <c r="I256" s="681" t="s">
        <v>1138</v>
      </c>
      <c r="J256" s="681" t="s">
        <v>2700</v>
      </c>
      <c r="K256" s="687" t="s">
        <v>2030</v>
      </c>
      <c r="L256" s="688" t="s">
        <v>437</v>
      </c>
      <c r="M256" s="690" t="s">
        <v>2687</v>
      </c>
      <c r="N256" s="680" t="s">
        <v>84</v>
      </c>
      <c r="O256" s="325"/>
      <c r="P256" s="185"/>
      <c r="Q256" s="433"/>
      <c r="R256" s="581" t="s">
        <v>1296</v>
      </c>
      <c r="S256" s="581" t="s">
        <v>2324</v>
      </c>
      <c r="U256" s="485" t="s">
        <v>976</v>
      </c>
      <c r="V256" s="485" t="s">
        <v>3594</v>
      </c>
      <c r="AA256" s="1332"/>
    </row>
    <row r="257" spans="6:27" ht="10.5" customHeight="1">
      <c r="F257" s="683"/>
      <c r="G257" s="433" t="s">
        <v>1139</v>
      </c>
      <c r="H257" s="433" t="s">
        <v>1384</v>
      </c>
      <c r="I257" s="681" t="s">
        <v>1140</v>
      </c>
      <c r="J257" s="681" t="s">
        <v>2700</v>
      </c>
      <c r="K257" s="687" t="s">
        <v>2031</v>
      </c>
      <c r="L257" s="688" t="s">
        <v>437</v>
      </c>
      <c r="M257" s="690" t="s">
        <v>2687</v>
      </c>
      <c r="N257" s="680" t="s">
        <v>85</v>
      </c>
      <c r="O257" s="325"/>
      <c r="P257" s="185"/>
      <c r="Q257" s="433"/>
      <c r="R257" s="581" t="s">
        <v>2569</v>
      </c>
      <c r="S257" s="581" t="s">
        <v>1143</v>
      </c>
      <c r="U257" s="485" t="s">
        <v>2387</v>
      </c>
      <c r="V257" s="485" t="s">
        <v>3594</v>
      </c>
      <c r="AA257" s="1332"/>
    </row>
    <row r="258" spans="6:27" ht="10.5" customHeight="1">
      <c r="F258" s="683"/>
      <c r="G258" s="433" t="s">
        <v>1141</v>
      </c>
      <c r="H258" s="433" t="s">
        <v>1257</v>
      </c>
      <c r="I258" s="679" t="s">
        <v>1142</v>
      </c>
      <c r="J258" s="679" t="s">
        <v>2700</v>
      </c>
      <c r="K258" s="687" t="s">
        <v>1850</v>
      </c>
      <c r="L258" s="688" t="s">
        <v>437</v>
      </c>
      <c r="M258" s="690" t="s">
        <v>2687</v>
      </c>
      <c r="N258" s="680" t="s">
        <v>86</v>
      </c>
      <c r="O258" s="325"/>
      <c r="P258" s="185"/>
      <c r="Q258" s="433"/>
      <c r="R258" s="581" t="s">
        <v>1299</v>
      </c>
      <c r="S258" s="581" t="s">
        <v>324</v>
      </c>
      <c r="U258" s="485" t="s">
        <v>336</v>
      </c>
      <c r="V258" s="485" t="s">
        <v>3594</v>
      </c>
      <c r="AA258" s="1332"/>
    </row>
    <row r="259" spans="6:27" ht="10.5" customHeight="1">
      <c r="F259" s="683"/>
      <c r="G259" s="433" t="s">
        <v>1143</v>
      </c>
      <c r="H259" s="433" t="s">
        <v>1360</v>
      </c>
      <c r="I259" s="679" t="s">
        <v>1144</v>
      </c>
      <c r="J259" s="679" t="s">
        <v>2700</v>
      </c>
      <c r="K259" s="687" t="s">
        <v>1851</v>
      </c>
      <c r="L259" s="688" t="s">
        <v>437</v>
      </c>
      <c r="M259" s="690" t="s">
        <v>2687</v>
      </c>
      <c r="N259" s="680" t="s">
        <v>88</v>
      </c>
      <c r="O259" s="325"/>
      <c r="P259" s="185"/>
      <c r="Q259" s="433"/>
      <c r="R259" s="581" t="s">
        <v>2579</v>
      </c>
      <c r="S259" s="581" t="s">
        <v>116</v>
      </c>
      <c r="U259" s="485" t="s">
        <v>338</v>
      </c>
      <c r="V259" s="485" t="s">
        <v>3594</v>
      </c>
      <c r="AA259" s="1332"/>
    </row>
    <row r="260" spans="6:27" ht="10.5" customHeight="1">
      <c r="F260" s="683"/>
      <c r="G260" s="433" t="s">
        <v>1145</v>
      </c>
      <c r="H260" s="433" t="s">
        <v>1257</v>
      </c>
      <c r="I260" s="679" t="s">
        <v>1146</v>
      </c>
      <c r="J260" s="679" t="s">
        <v>2700</v>
      </c>
      <c r="K260" s="687" t="s">
        <v>1852</v>
      </c>
      <c r="L260" s="688" t="s">
        <v>437</v>
      </c>
      <c r="M260" s="690" t="s">
        <v>2687</v>
      </c>
      <c r="N260" s="680" t="s">
        <v>1273</v>
      </c>
      <c r="O260" s="325"/>
      <c r="P260" s="185"/>
      <c r="Q260" s="433"/>
      <c r="R260" s="581" t="s">
        <v>83</v>
      </c>
      <c r="S260" s="581" t="s">
        <v>202</v>
      </c>
      <c r="U260" s="485" t="s">
        <v>341</v>
      </c>
      <c r="V260" s="485" t="s">
        <v>3594</v>
      </c>
      <c r="AA260" s="1332"/>
    </row>
    <row r="261" spans="6:27" ht="10.5" customHeight="1">
      <c r="F261" s="683"/>
      <c r="G261" s="433" t="s">
        <v>1147</v>
      </c>
      <c r="H261" s="433" t="s">
        <v>1384</v>
      </c>
      <c r="I261" s="681" t="s">
        <v>796</v>
      </c>
      <c r="J261" s="681" t="s">
        <v>2701</v>
      </c>
      <c r="K261" s="687" t="s">
        <v>2686</v>
      </c>
      <c r="L261" s="688" t="s">
        <v>438</v>
      </c>
      <c r="M261" s="690" t="s">
        <v>1239</v>
      </c>
      <c r="N261" s="680" t="s">
        <v>1275</v>
      </c>
      <c r="O261" s="325"/>
      <c r="P261" s="185"/>
      <c r="Q261" s="433"/>
      <c r="R261" s="581" t="s">
        <v>87</v>
      </c>
      <c r="S261" s="581" t="s">
        <v>2262</v>
      </c>
      <c r="U261" s="485" t="s">
        <v>1822</v>
      </c>
      <c r="V261" s="485" t="s">
        <v>3594</v>
      </c>
      <c r="AA261" s="1332"/>
    </row>
    <row r="262" spans="6:27" ht="10.5" customHeight="1">
      <c r="F262" s="683"/>
      <c r="G262" s="433" t="s">
        <v>1148</v>
      </c>
      <c r="H262" s="433" t="s">
        <v>1384</v>
      </c>
      <c r="I262" s="681" t="s">
        <v>795</v>
      </c>
      <c r="J262" s="681" t="s">
        <v>2701</v>
      </c>
      <c r="K262" s="687" t="s">
        <v>2664</v>
      </c>
      <c r="L262" s="688" t="s">
        <v>438</v>
      </c>
      <c r="M262" s="689" t="s">
        <v>1239</v>
      </c>
      <c r="N262" s="680" t="s">
        <v>1277</v>
      </c>
      <c r="O262" s="325"/>
      <c r="P262" s="185"/>
      <c r="Q262" s="433"/>
      <c r="R262" s="581" t="s">
        <v>89</v>
      </c>
      <c r="S262" s="581" t="s">
        <v>1370</v>
      </c>
      <c r="U262" s="485" t="s">
        <v>718</v>
      </c>
      <c r="V262" s="485" t="s">
        <v>3594</v>
      </c>
      <c r="AA262" s="1332"/>
    </row>
    <row r="263" spans="6:27" ht="10.5" customHeight="1">
      <c r="F263" s="683"/>
      <c r="G263" s="433" t="s">
        <v>1149</v>
      </c>
      <c r="H263" s="433" t="s">
        <v>1384</v>
      </c>
      <c r="I263" s="679" t="s">
        <v>2246</v>
      </c>
      <c r="J263" s="679" t="s">
        <v>2700</v>
      </c>
      <c r="K263" s="687" t="s">
        <v>1853</v>
      </c>
      <c r="L263" s="688" t="s">
        <v>437</v>
      </c>
      <c r="M263" s="690" t="s">
        <v>2687</v>
      </c>
      <c r="N263" s="680" t="s">
        <v>1279</v>
      </c>
      <c r="O263" s="325"/>
      <c r="P263" s="185"/>
      <c r="Q263" s="433"/>
      <c r="R263" s="581" t="s">
        <v>1274</v>
      </c>
      <c r="S263" s="581" t="s">
        <v>2024</v>
      </c>
      <c r="U263" s="485" t="s">
        <v>2435</v>
      </c>
      <c r="V263" s="485" t="s">
        <v>3594</v>
      </c>
      <c r="AA263" s="1332"/>
    </row>
    <row r="264" spans="6:27" ht="10.5" customHeight="1">
      <c r="F264" s="683"/>
      <c r="G264" s="433" t="s">
        <v>2247</v>
      </c>
      <c r="H264" s="433" t="s">
        <v>1257</v>
      </c>
      <c r="I264" s="679" t="s">
        <v>2248</v>
      </c>
      <c r="J264" s="679" t="s">
        <v>2700</v>
      </c>
      <c r="K264" s="687" t="s">
        <v>1854</v>
      </c>
      <c r="L264" s="688" t="s">
        <v>437</v>
      </c>
      <c r="M264" s="690" t="s">
        <v>2687</v>
      </c>
      <c r="N264" s="680" t="s">
        <v>1281</v>
      </c>
      <c r="O264" s="325"/>
      <c r="P264" s="185"/>
      <c r="Q264" s="433"/>
      <c r="R264" s="581" t="s">
        <v>1276</v>
      </c>
      <c r="S264" s="581" t="s">
        <v>184</v>
      </c>
      <c r="U264" s="485" t="s">
        <v>492</v>
      </c>
      <c r="V264" s="485" t="s">
        <v>3594</v>
      </c>
      <c r="AA264" s="1332"/>
    </row>
    <row r="265" spans="6:27" ht="10.5" customHeight="1">
      <c r="F265" s="683"/>
      <c r="G265" s="433" t="s">
        <v>1666</v>
      </c>
      <c r="H265" s="433" t="s">
        <v>1666</v>
      </c>
      <c r="I265" s="433" t="s">
        <v>1666</v>
      </c>
      <c r="J265" s="679"/>
      <c r="K265" s="687"/>
      <c r="L265" s="688"/>
      <c r="M265" s="690" t="s">
        <v>2885</v>
      </c>
      <c r="N265" s="680" t="s">
        <v>1283</v>
      </c>
      <c r="O265" s="325"/>
      <c r="P265" s="185"/>
      <c r="Q265" s="433"/>
      <c r="R265" s="581" t="s">
        <v>1278</v>
      </c>
      <c r="S265" s="581" t="s">
        <v>1145</v>
      </c>
      <c r="U265" s="485" t="s">
        <v>3587</v>
      </c>
      <c r="V265" s="485" t="s">
        <v>3594</v>
      </c>
      <c r="AA265" s="1332"/>
    </row>
    <row r="266" spans="6:27" ht="10.5" customHeight="1">
      <c r="F266" s="683"/>
      <c r="G266" s="433" t="s">
        <v>2249</v>
      </c>
      <c r="H266" s="433" t="s">
        <v>1257</v>
      </c>
      <c r="I266" s="681" t="s">
        <v>2250</v>
      </c>
      <c r="J266" s="679" t="s">
        <v>2700</v>
      </c>
      <c r="K266" s="687" t="s">
        <v>473</v>
      </c>
      <c r="L266" s="688" t="s">
        <v>437</v>
      </c>
      <c r="M266" s="690" t="s">
        <v>2687</v>
      </c>
      <c r="N266" s="680" t="s">
        <v>924</v>
      </c>
      <c r="O266" s="325"/>
      <c r="P266" s="185"/>
      <c r="Q266" s="433"/>
      <c r="R266" s="682" t="s">
        <v>1280</v>
      </c>
      <c r="S266" s="682" t="s">
        <v>1252</v>
      </c>
      <c r="U266" s="485" t="s">
        <v>3588</v>
      </c>
      <c r="V266" s="485" t="s">
        <v>3594</v>
      </c>
      <c r="AA266" s="1332"/>
    </row>
    <row r="267" spans="6:27" ht="10.5" customHeight="1">
      <c r="F267" s="683"/>
      <c r="G267" s="433" t="s">
        <v>2251</v>
      </c>
      <c r="H267" s="433" t="s">
        <v>1384</v>
      </c>
      <c r="I267" s="681" t="s">
        <v>795</v>
      </c>
      <c r="J267" s="681" t="s">
        <v>2701</v>
      </c>
      <c r="K267" s="687" t="s">
        <v>2664</v>
      </c>
      <c r="L267" s="688" t="s">
        <v>438</v>
      </c>
      <c r="M267" s="689" t="s">
        <v>1239</v>
      </c>
      <c r="N267" s="680" t="s">
        <v>925</v>
      </c>
      <c r="O267" s="325"/>
      <c r="P267" s="185"/>
      <c r="Q267" s="433"/>
      <c r="R267" s="581" t="s">
        <v>1282</v>
      </c>
      <c r="S267" s="581" t="s">
        <v>2262</v>
      </c>
      <c r="U267" s="485" t="s">
        <v>80</v>
      </c>
      <c r="V267" s="485" t="s">
        <v>3594</v>
      </c>
      <c r="AA267" s="1333"/>
    </row>
    <row r="268" spans="6:27" ht="10.5" customHeight="1">
      <c r="F268" s="683"/>
      <c r="G268" s="433" t="s">
        <v>2252</v>
      </c>
      <c r="H268" s="433" t="s">
        <v>1360</v>
      </c>
      <c r="I268" s="681" t="s">
        <v>2253</v>
      </c>
      <c r="J268" s="681" t="s">
        <v>2700</v>
      </c>
      <c r="K268" s="687" t="s">
        <v>230</v>
      </c>
      <c r="L268" s="688" t="s">
        <v>437</v>
      </c>
      <c r="M268" s="690" t="s">
        <v>2687</v>
      </c>
      <c r="N268" s="680" t="s">
        <v>927</v>
      </c>
      <c r="O268" s="325"/>
      <c r="P268" s="185"/>
      <c r="Q268" s="433"/>
      <c r="R268" s="581" t="s">
        <v>2575</v>
      </c>
      <c r="S268" s="581" t="s">
        <v>1690</v>
      </c>
      <c r="U268" s="485" t="s">
        <v>2498</v>
      </c>
      <c r="V268" s="485" t="s">
        <v>3594</v>
      </c>
      <c r="AA268" s="1332"/>
    </row>
    <row r="269" spans="6:27" ht="10.5" customHeight="1">
      <c r="F269" s="683"/>
      <c r="G269" s="433" t="s">
        <v>2254</v>
      </c>
      <c r="H269" s="433" t="s">
        <v>1257</v>
      </c>
      <c r="I269" s="679" t="s">
        <v>2255</v>
      </c>
      <c r="J269" s="681" t="s">
        <v>2700</v>
      </c>
      <c r="K269" s="687" t="s">
        <v>1475</v>
      </c>
      <c r="L269" s="688" t="s">
        <v>437</v>
      </c>
      <c r="M269" s="690" t="s">
        <v>2687</v>
      </c>
      <c r="N269" s="680" t="s">
        <v>929</v>
      </c>
      <c r="O269" s="325"/>
      <c r="P269" s="185"/>
      <c r="Q269" s="433"/>
      <c r="R269" s="581" t="s">
        <v>166</v>
      </c>
      <c r="S269" s="581" t="s">
        <v>2676</v>
      </c>
      <c r="U269" s="485" t="s">
        <v>637</v>
      </c>
      <c r="V269" s="485" t="s">
        <v>3594</v>
      </c>
      <c r="AA269" s="1332"/>
    </row>
    <row r="270" spans="6:27" ht="10.5" customHeight="1">
      <c r="F270" s="683"/>
      <c r="G270" s="433" t="s">
        <v>2256</v>
      </c>
      <c r="H270" s="433" t="s">
        <v>1257</v>
      </c>
      <c r="I270" s="679" t="s">
        <v>2257</v>
      </c>
      <c r="J270" s="679" t="s">
        <v>2700</v>
      </c>
      <c r="K270" s="687" t="s">
        <v>1476</v>
      </c>
      <c r="L270" s="688" t="s">
        <v>437</v>
      </c>
      <c r="M270" s="690" t="s">
        <v>2687</v>
      </c>
      <c r="N270" s="680" t="s">
        <v>2216</v>
      </c>
      <c r="O270" s="325"/>
      <c r="P270" s="185"/>
      <c r="Q270" s="433"/>
      <c r="R270" s="581" t="s">
        <v>926</v>
      </c>
      <c r="S270" s="581" t="s">
        <v>184</v>
      </c>
      <c r="U270" s="485" t="s">
        <v>1002</v>
      </c>
      <c r="V270" s="485" t="s">
        <v>3594</v>
      </c>
      <c r="AA270" s="1332"/>
    </row>
    <row r="271" spans="6:27" ht="10.5" customHeight="1">
      <c r="F271" s="683"/>
      <c r="G271" s="433" t="s">
        <v>2258</v>
      </c>
      <c r="H271" s="433" t="s">
        <v>1384</v>
      </c>
      <c r="I271" s="679" t="s">
        <v>2259</v>
      </c>
      <c r="J271" s="679" t="s">
        <v>2700</v>
      </c>
      <c r="K271" s="687" t="s">
        <v>1477</v>
      </c>
      <c r="L271" s="688" t="s">
        <v>437</v>
      </c>
      <c r="M271" s="690" t="s">
        <v>2687</v>
      </c>
      <c r="N271" s="680" t="s">
        <v>2217</v>
      </c>
      <c r="O271" s="325"/>
      <c r="P271" s="185"/>
      <c r="Q271" s="433"/>
      <c r="R271" s="581" t="s">
        <v>928</v>
      </c>
      <c r="S271" s="581" t="s">
        <v>336</v>
      </c>
      <c r="U271" s="485" t="s">
        <v>1549</v>
      </c>
      <c r="V271" s="485" t="s">
        <v>3594</v>
      </c>
      <c r="AA271" s="1332"/>
    </row>
    <row r="272" spans="6:27" ht="10.5" customHeight="1">
      <c r="F272" s="683"/>
      <c r="G272" s="433" t="s">
        <v>2260</v>
      </c>
      <c r="H272" s="433" t="s">
        <v>1384</v>
      </c>
      <c r="I272" s="679" t="s">
        <v>2261</v>
      </c>
      <c r="J272" s="679" t="s">
        <v>2700</v>
      </c>
      <c r="K272" s="687" t="s">
        <v>2088</v>
      </c>
      <c r="L272" s="688" t="s">
        <v>437</v>
      </c>
      <c r="M272" s="690" t="s">
        <v>2687</v>
      </c>
      <c r="N272" s="680" t="s">
        <v>2133</v>
      </c>
      <c r="O272" s="325"/>
      <c r="P272" s="185"/>
      <c r="Q272" s="433"/>
      <c r="R272" s="682" t="s">
        <v>930</v>
      </c>
      <c r="S272" s="682" t="s">
        <v>1134</v>
      </c>
      <c r="U272" s="485" t="s">
        <v>2418</v>
      </c>
      <c r="V272" s="485" t="s">
        <v>3594</v>
      </c>
      <c r="AA272" s="1332"/>
    </row>
    <row r="273" spans="6:28" ht="10.5" customHeight="1">
      <c r="F273" s="683"/>
      <c r="G273" s="433" t="s">
        <v>2262</v>
      </c>
      <c r="H273" s="433" t="s">
        <v>1257</v>
      </c>
      <c r="I273" s="679" t="s">
        <v>2263</v>
      </c>
      <c r="J273" s="679" t="s">
        <v>2700</v>
      </c>
      <c r="K273" s="687" t="s">
        <v>2089</v>
      </c>
      <c r="L273" s="688" t="s">
        <v>437</v>
      </c>
      <c r="M273" s="690" t="s">
        <v>2687</v>
      </c>
      <c r="N273" s="680" t="s">
        <v>2135</v>
      </c>
      <c r="O273" s="325"/>
      <c r="P273" s="185"/>
      <c r="Q273" s="433"/>
      <c r="R273" s="581" t="s">
        <v>2654</v>
      </c>
      <c r="S273" s="581" t="s">
        <v>2569</v>
      </c>
      <c r="U273" s="485" t="s">
        <v>853</v>
      </c>
      <c r="V273" s="485" t="s">
        <v>3594</v>
      </c>
      <c r="AA273" s="1333"/>
    </row>
    <row r="274" spans="6:28" ht="10.5" customHeight="1">
      <c r="F274" s="683"/>
      <c r="G274" s="433" t="s">
        <v>2264</v>
      </c>
      <c r="H274" s="433" t="s">
        <v>1384</v>
      </c>
      <c r="I274" s="679" t="s">
        <v>903</v>
      </c>
      <c r="J274" s="679" t="s">
        <v>2700</v>
      </c>
      <c r="K274" s="687" t="s">
        <v>2090</v>
      </c>
      <c r="L274" s="688" t="s">
        <v>437</v>
      </c>
      <c r="M274" s="690" t="s">
        <v>2687</v>
      </c>
      <c r="N274" s="680" t="s">
        <v>621</v>
      </c>
      <c r="O274" s="325"/>
      <c r="P274" s="185"/>
      <c r="Q274" s="433"/>
      <c r="R274" s="581" t="s">
        <v>2218</v>
      </c>
      <c r="S274" s="581" t="s">
        <v>1148</v>
      </c>
      <c r="U274" s="485" t="s">
        <v>856</v>
      </c>
      <c r="V274" s="485" t="s">
        <v>3594</v>
      </c>
      <c r="AA274" s="1332"/>
    </row>
    <row r="275" spans="6:28" ht="10.5" customHeight="1">
      <c r="F275" s="683"/>
      <c r="G275" s="433" t="s">
        <v>904</v>
      </c>
      <c r="H275" s="433" t="s">
        <v>1257</v>
      </c>
      <c r="I275" s="679" t="s">
        <v>905</v>
      </c>
      <c r="J275" s="679" t="s">
        <v>2700</v>
      </c>
      <c r="K275" s="687" t="s">
        <v>2091</v>
      </c>
      <c r="L275" s="688" t="s">
        <v>437</v>
      </c>
      <c r="M275" s="690" t="s">
        <v>2687</v>
      </c>
      <c r="N275" s="680" t="s">
        <v>622</v>
      </c>
      <c r="O275" s="325"/>
      <c r="P275" s="185"/>
      <c r="Q275" s="433"/>
      <c r="R275" s="581" t="s">
        <v>2134</v>
      </c>
      <c r="S275" s="581" t="s">
        <v>1725</v>
      </c>
      <c r="U275" s="485" t="s">
        <v>1566</v>
      </c>
      <c r="V275" s="485" t="s">
        <v>3594</v>
      </c>
      <c r="AA275" s="1332"/>
    </row>
    <row r="276" spans="6:28" ht="10.5" customHeight="1">
      <c r="F276" s="683"/>
      <c r="G276" s="433" t="s">
        <v>1724</v>
      </c>
      <c r="H276" s="433" t="s">
        <v>1257</v>
      </c>
      <c r="I276" s="681" t="s">
        <v>1848</v>
      </c>
      <c r="J276" s="679" t="s">
        <v>2701</v>
      </c>
      <c r="K276" s="687" t="s">
        <v>1203</v>
      </c>
      <c r="L276" s="688" t="s">
        <v>438</v>
      </c>
      <c r="M276" s="689" t="s">
        <v>1239</v>
      </c>
      <c r="N276" s="680" t="s">
        <v>624</v>
      </c>
      <c r="O276" s="325"/>
      <c r="P276" s="185"/>
      <c r="Q276" s="433"/>
      <c r="R276" s="581" t="s">
        <v>2136</v>
      </c>
      <c r="S276" s="581" t="s">
        <v>2621</v>
      </c>
      <c r="U276" s="485" t="s">
        <v>500</v>
      </c>
      <c r="V276" s="485" t="s">
        <v>3594</v>
      </c>
      <c r="AA276" s="1332"/>
    </row>
    <row r="277" spans="6:28" ht="10.5" customHeight="1">
      <c r="F277" s="683"/>
      <c r="G277" s="433" t="s">
        <v>1725</v>
      </c>
      <c r="H277" s="433" t="s">
        <v>1257</v>
      </c>
      <c r="I277" s="681" t="s">
        <v>1726</v>
      </c>
      <c r="J277" s="681" t="s">
        <v>2700</v>
      </c>
      <c r="K277" s="687" t="s">
        <v>2092</v>
      </c>
      <c r="L277" s="688" t="s">
        <v>437</v>
      </c>
      <c r="M277" s="690" t="s">
        <v>2687</v>
      </c>
      <c r="N277" s="680" t="s">
        <v>626</v>
      </c>
      <c r="O277" s="325"/>
      <c r="P277" s="185"/>
      <c r="Q277" s="433"/>
      <c r="R277" s="581" t="s">
        <v>858</v>
      </c>
      <c r="S277" s="581" t="s">
        <v>331</v>
      </c>
      <c r="U277" s="485" t="s">
        <v>1445</v>
      </c>
      <c r="V277" s="485" t="s">
        <v>3594</v>
      </c>
      <c r="AA277" s="1332"/>
    </row>
    <row r="278" spans="6:28" ht="10.5" customHeight="1">
      <c r="F278" s="683"/>
      <c r="G278" s="433" t="s">
        <v>1727</v>
      </c>
      <c r="H278" s="433" t="s">
        <v>1257</v>
      </c>
      <c r="I278" s="681" t="s">
        <v>1982</v>
      </c>
      <c r="J278" s="681" t="s">
        <v>2700</v>
      </c>
      <c r="K278" s="687" t="s">
        <v>1208</v>
      </c>
      <c r="L278" s="688" t="s">
        <v>437</v>
      </c>
      <c r="M278" s="690" t="s">
        <v>2687</v>
      </c>
      <c r="N278" s="680" t="s">
        <v>627</v>
      </c>
      <c r="O278" s="325"/>
      <c r="P278" s="185"/>
      <c r="Q278" s="433"/>
      <c r="R278" s="581" t="s">
        <v>623</v>
      </c>
      <c r="S278" s="581" t="s">
        <v>124</v>
      </c>
      <c r="U278" s="485" t="s">
        <v>1447</v>
      </c>
      <c r="V278" s="485" t="s">
        <v>3594</v>
      </c>
      <c r="AA278" s="1332"/>
      <c r="AB278" s="1336"/>
    </row>
    <row r="279" spans="6:28" ht="10.5" customHeight="1">
      <c r="F279" s="683"/>
      <c r="G279" s="433" t="s">
        <v>1983</v>
      </c>
      <c r="H279" s="433" t="s">
        <v>1257</v>
      </c>
      <c r="I279" s="681" t="s">
        <v>1984</v>
      </c>
      <c r="J279" s="681" t="s">
        <v>2700</v>
      </c>
      <c r="K279" s="687" t="s">
        <v>1209</v>
      </c>
      <c r="L279" s="688" t="s">
        <v>437</v>
      </c>
      <c r="M279" s="690" t="s">
        <v>2687</v>
      </c>
      <c r="N279" s="680" t="s">
        <v>628</v>
      </c>
      <c r="O279" s="325"/>
      <c r="P279" s="185"/>
      <c r="Q279" s="433"/>
      <c r="R279" s="581" t="s">
        <v>2655</v>
      </c>
      <c r="S279" s="581" t="s">
        <v>1376</v>
      </c>
      <c r="U279" s="485" t="s">
        <v>2578</v>
      </c>
      <c r="V279" s="485" t="s">
        <v>3594</v>
      </c>
      <c r="AA279" s="1332"/>
    </row>
    <row r="280" spans="6:28" ht="10.5" customHeight="1">
      <c r="F280" s="683"/>
      <c r="G280" s="433" t="s">
        <v>1985</v>
      </c>
      <c r="H280" s="433" t="s">
        <v>1360</v>
      </c>
      <c r="I280" s="681" t="s">
        <v>1986</v>
      </c>
      <c r="J280" s="681" t="s">
        <v>2700</v>
      </c>
      <c r="K280" s="687" t="s">
        <v>1210</v>
      </c>
      <c r="L280" s="688" t="s">
        <v>437</v>
      </c>
      <c r="M280" s="690" t="s">
        <v>2687</v>
      </c>
      <c r="N280" s="680" t="s">
        <v>630</v>
      </c>
      <c r="O280" s="325"/>
      <c r="P280" s="185"/>
      <c r="Q280" s="433"/>
      <c r="R280" s="581" t="s">
        <v>625</v>
      </c>
      <c r="S280" s="581" t="s">
        <v>2677</v>
      </c>
      <c r="U280" s="485" t="s">
        <v>1095</v>
      </c>
      <c r="V280" s="485" t="s">
        <v>3594</v>
      </c>
      <c r="AA280" s="1332"/>
    </row>
    <row r="281" spans="6:28" ht="10.5" customHeight="1">
      <c r="F281" s="683"/>
      <c r="G281" s="433" t="s">
        <v>1987</v>
      </c>
      <c r="H281" s="433" t="s">
        <v>1257</v>
      </c>
      <c r="I281" s="681" t="s">
        <v>1988</v>
      </c>
      <c r="J281" s="681" t="s">
        <v>2700</v>
      </c>
      <c r="K281" s="687" t="s">
        <v>1211</v>
      </c>
      <c r="L281" s="688" t="s">
        <v>437</v>
      </c>
      <c r="M281" s="690" t="s">
        <v>2687</v>
      </c>
      <c r="N281" s="680" t="s">
        <v>632</v>
      </c>
      <c r="O281" s="325"/>
      <c r="P281" s="185"/>
      <c r="Q281" s="433"/>
      <c r="R281" s="581" t="s">
        <v>2620</v>
      </c>
      <c r="S281" s="581" t="s">
        <v>2679</v>
      </c>
      <c r="U281" s="485" t="s">
        <v>1369</v>
      </c>
      <c r="V281" s="485" t="s">
        <v>3594</v>
      </c>
      <c r="AA281" s="1332"/>
    </row>
    <row r="282" spans="6:28" ht="10.5" customHeight="1">
      <c r="F282" s="683"/>
      <c r="G282" s="433" t="s">
        <v>1989</v>
      </c>
      <c r="H282" s="433" t="s">
        <v>1384</v>
      </c>
      <c r="I282" s="679" t="s">
        <v>1990</v>
      </c>
      <c r="J282" s="681" t="s">
        <v>2700</v>
      </c>
      <c r="K282" s="687" t="s">
        <v>1212</v>
      </c>
      <c r="L282" s="688" t="s">
        <v>437</v>
      </c>
      <c r="M282" s="690" t="s">
        <v>2687</v>
      </c>
      <c r="N282" s="680" t="s">
        <v>566</v>
      </c>
      <c r="O282" s="325"/>
      <c r="P282" s="185"/>
      <c r="Q282" s="433"/>
      <c r="R282" s="581" t="s">
        <v>629</v>
      </c>
      <c r="S282" s="581" t="s">
        <v>2260</v>
      </c>
      <c r="U282" s="485" t="s">
        <v>184</v>
      </c>
      <c r="V282" s="485" t="s">
        <v>3594</v>
      </c>
      <c r="AA282" s="1332"/>
    </row>
    <row r="283" spans="6:28" ht="10.5" customHeight="1">
      <c r="F283" s="683"/>
      <c r="G283" s="433" t="s">
        <v>1991</v>
      </c>
      <c r="H283" s="433" t="s">
        <v>1257</v>
      </c>
      <c r="I283" s="681" t="s">
        <v>1992</v>
      </c>
      <c r="J283" s="679" t="s">
        <v>2700</v>
      </c>
      <c r="K283" s="687" t="s">
        <v>1213</v>
      </c>
      <c r="L283" s="688" t="s">
        <v>437</v>
      </c>
      <c r="M283" s="690" t="s">
        <v>2687</v>
      </c>
      <c r="N283" s="680" t="s">
        <v>1198</v>
      </c>
      <c r="O283" s="325"/>
      <c r="P283" s="185"/>
      <c r="Q283" s="433"/>
      <c r="R283" s="581" t="s">
        <v>2993</v>
      </c>
      <c r="S283" s="581" t="s">
        <v>1139</v>
      </c>
      <c r="U283" s="485" t="s">
        <v>1632</v>
      </c>
      <c r="V283" s="485" t="s">
        <v>3594</v>
      </c>
      <c r="AA283" s="1332"/>
    </row>
    <row r="284" spans="6:28" ht="10.5" customHeight="1">
      <c r="F284" s="683"/>
      <c r="G284" s="433" t="s">
        <v>1993</v>
      </c>
      <c r="H284" s="433" t="s">
        <v>1384</v>
      </c>
      <c r="I284" s="681" t="s">
        <v>1369</v>
      </c>
      <c r="J284" s="681" t="s">
        <v>2701</v>
      </c>
      <c r="K284" s="687" t="s">
        <v>2667</v>
      </c>
      <c r="L284" s="688" t="s">
        <v>438</v>
      </c>
      <c r="M284" s="689" t="s">
        <v>1239</v>
      </c>
      <c r="N284" s="680" t="s">
        <v>777</v>
      </c>
      <c r="O284" s="325"/>
      <c r="P284" s="185"/>
      <c r="Q284" s="433"/>
      <c r="R284" s="581" t="s">
        <v>631</v>
      </c>
      <c r="S284" s="581" t="s">
        <v>1694</v>
      </c>
      <c r="U284" s="485" t="s">
        <v>391</v>
      </c>
      <c r="V284" s="485" t="s">
        <v>3594</v>
      </c>
      <c r="AA284" s="1332"/>
    </row>
    <row r="285" spans="6:28" ht="10.5" customHeight="1">
      <c r="F285" s="683"/>
      <c r="G285" s="433" t="s">
        <v>1994</v>
      </c>
      <c r="H285" s="433" t="s">
        <v>1360</v>
      </c>
      <c r="I285" s="681" t="s">
        <v>1995</v>
      </c>
      <c r="J285" s="681" t="s">
        <v>2700</v>
      </c>
      <c r="K285" s="687" t="s">
        <v>1214</v>
      </c>
      <c r="L285" s="688" t="s">
        <v>437</v>
      </c>
      <c r="M285" s="690" t="s">
        <v>2687</v>
      </c>
      <c r="N285" s="680" t="s">
        <v>38</v>
      </c>
      <c r="O285" s="325"/>
      <c r="P285" s="185"/>
      <c r="Q285" s="433"/>
      <c r="R285" s="581" t="s">
        <v>565</v>
      </c>
      <c r="S285" s="581" t="s">
        <v>685</v>
      </c>
      <c r="U285" s="485" t="s">
        <v>393</v>
      </c>
      <c r="V285" s="485" t="s">
        <v>3594</v>
      </c>
      <c r="AA285" s="1332"/>
    </row>
    <row r="286" spans="6:28" ht="10.5" customHeight="1">
      <c r="F286" s="683"/>
      <c r="G286" s="433" t="s">
        <v>2081</v>
      </c>
      <c r="H286" s="433" t="s">
        <v>1384</v>
      </c>
      <c r="I286" s="679" t="s">
        <v>2082</v>
      </c>
      <c r="J286" s="681" t="s">
        <v>2700</v>
      </c>
      <c r="K286" s="687" t="s">
        <v>1215</v>
      </c>
      <c r="L286" s="688" t="s">
        <v>437</v>
      </c>
      <c r="M286" s="690" t="s">
        <v>2687</v>
      </c>
      <c r="N286" s="680" t="s">
        <v>2039</v>
      </c>
      <c r="O286" s="325"/>
      <c r="P286" s="185"/>
      <c r="Q286" s="433"/>
      <c r="R286" s="581" t="s">
        <v>567</v>
      </c>
      <c r="S286" s="581" t="s">
        <v>165</v>
      </c>
      <c r="U286" s="485" t="s">
        <v>1665</v>
      </c>
      <c r="V286" s="485" t="s">
        <v>3594</v>
      </c>
      <c r="AA286" s="1332"/>
    </row>
    <row r="287" spans="6:28" ht="10.5" customHeight="1">
      <c r="F287" s="683"/>
      <c r="G287" s="433" t="s">
        <v>2083</v>
      </c>
      <c r="H287" s="433" t="s">
        <v>1360</v>
      </c>
      <c r="I287" s="681" t="s">
        <v>1578</v>
      </c>
      <c r="J287" s="679" t="s">
        <v>2701</v>
      </c>
      <c r="K287" s="687" t="s">
        <v>1744</v>
      </c>
      <c r="L287" s="688" t="s">
        <v>438</v>
      </c>
      <c r="M287" s="689" t="s">
        <v>1239</v>
      </c>
      <c r="N287" s="680" t="s">
        <v>2041</v>
      </c>
      <c r="O287" s="325"/>
      <c r="P287" s="185"/>
      <c r="Q287" s="433"/>
      <c r="R287" s="581" t="s">
        <v>776</v>
      </c>
      <c r="S287" s="581" t="s">
        <v>1145</v>
      </c>
      <c r="U287" s="485" t="s">
        <v>1126</v>
      </c>
      <c r="V287" s="485" t="s">
        <v>3594</v>
      </c>
      <c r="AA287" s="1332"/>
    </row>
    <row r="288" spans="6:28" ht="10.5" customHeight="1">
      <c r="F288" s="683"/>
      <c r="G288" s="433" t="s">
        <v>2084</v>
      </c>
      <c r="H288" s="433" t="s">
        <v>1384</v>
      </c>
      <c r="I288" s="681" t="s">
        <v>795</v>
      </c>
      <c r="J288" s="681" t="s">
        <v>2701</v>
      </c>
      <c r="K288" s="687" t="s">
        <v>2664</v>
      </c>
      <c r="L288" s="688" t="s">
        <v>438</v>
      </c>
      <c r="M288" s="689" t="s">
        <v>1239</v>
      </c>
      <c r="N288" s="680" t="s">
        <v>347</v>
      </c>
      <c r="O288" s="325"/>
      <c r="P288" s="185"/>
      <c r="Q288" s="433"/>
      <c r="R288" s="581" t="s">
        <v>778</v>
      </c>
      <c r="S288" s="581" t="s">
        <v>123</v>
      </c>
      <c r="U288" s="485" t="s">
        <v>3589</v>
      </c>
      <c r="V288" s="485" t="s">
        <v>3594</v>
      </c>
      <c r="AA288" s="1332"/>
    </row>
    <row r="289" spans="6:27" ht="10.5" customHeight="1">
      <c r="F289" s="683"/>
      <c r="G289" s="433" t="s">
        <v>2085</v>
      </c>
      <c r="H289" s="433" t="s">
        <v>1257</v>
      </c>
      <c r="I289" s="681" t="s">
        <v>105</v>
      </c>
      <c r="J289" s="681" t="s">
        <v>2700</v>
      </c>
      <c r="K289" s="687" t="s">
        <v>1216</v>
      </c>
      <c r="L289" s="688" t="s">
        <v>437</v>
      </c>
      <c r="M289" s="690" t="s">
        <v>2687</v>
      </c>
      <c r="N289" s="680" t="s">
        <v>349</v>
      </c>
      <c r="O289" s="325"/>
      <c r="P289" s="185"/>
      <c r="Q289" s="433"/>
      <c r="R289" s="581" t="s">
        <v>39</v>
      </c>
      <c r="S289" s="581" t="s">
        <v>181</v>
      </c>
      <c r="U289" s="485" t="s">
        <v>3590</v>
      </c>
      <c r="V289" s="485" t="s">
        <v>3594</v>
      </c>
      <c r="AA289" s="1332"/>
    </row>
    <row r="290" spans="6:27" ht="10.5" customHeight="1">
      <c r="F290" s="683"/>
      <c r="G290" s="433" t="s">
        <v>106</v>
      </c>
      <c r="H290" s="433" t="s">
        <v>1384</v>
      </c>
      <c r="I290" s="681" t="s">
        <v>107</v>
      </c>
      <c r="J290" s="681" t="s">
        <v>2700</v>
      </c>
      <c r="K290" s="687" t="s">
        <v>1217</v>
      </c>
      <c r="L290" s="688" t="s">
        <v>437</v>
      </c>
      <c r="M290" s="690" t="s">
        <v>2687</v>
      </c>
      <c r="N290" s="680" t="s">
        <v>351</v>
      </c>
      <c r="O290" s="325"/>
      <c r="P290" s="185"/>
      <c r="Q290" s="433"/>
      <c r="R290" s="581" t="s">
        <v>2040</v>
      </c>
      <c r="S290" s="581" t="s">
        <v>2324</v>
      </c>
      <c r="U290" s="485" t="s">
        <v>540</v>
      </c>
      <c r="V290" s="485" t="s">
        <v>3594</v>
      </c>
      <c r="AA290" s="1332"/>
    </row>
    <row r="291" spans="6:27" ht="10.5" customHeight="1">
      <c r="F291" s="683"/>
      <c r="G291" s="433" t="s">
        <v>108</v>
      </c>
      <c r="H291" s="433" t="s">
        <v>1257</v>
      </c>
      <c r="I291" s="681" t="s">
        <v>109</v>
      </c>
      <c r="J291" s="681" t="s">
        <v>2700</v>
      </c>
      <c r="K291" s="687" t="s">
        <v>1218</v>
      </c>
      <c r="L291" s="688" t="s">
        <v>437</v>
      </c>
      <c r="M291" s="690" t="s">
        <v>2687</v>
      </c>
      <c r="N291" s="680" t="s">
        <v>353</v>
      </c>
      <c r="O291" s="325"/>
      <c r="P291" s="185"/>
      <c r="Q291" s="433"/>
      <c r="R291" s="581" t="s">
        <v>2042</v>
      </c>
      <c r="S291" s="581" t="s">
        <v>2680</v>
      </c>
      <c r="U291" s="485" t="s">
        <v>542</v>
      </c>
      <c r="V291" s="485" t="s">
        <v>3594</v>
      </c>
      <c r="AA291" s="1332"/>
    </row>
    <row r="292" spans="6:27" ht="10.5" customHeight="1">
      <c r="F292" s="683"/>
      <c r="G292" s="433" t="s">
        <v>110</v>
      </c>
      <c r="H292" s="433" t="s">
        <v>1257</v>
      </c>
      <c r="I292" s="681" t="s">
        <v>111</v>
      </c>
      <c r="J292" s="681" t="s">
        <v>2700</v>
      </c>
      <c r="K292" s="687" t="s">
        <v>1219</v>
      </c>
      <c r="L292" s="688" t="s">
        <v>437</v>
      </c>
      <c r="M292" s="690" t="s">
        <v>2687</v>
      </c>
      <c r="N292" s="680" t="s">
        <v>355</v>
      </c>
      <c r="O292" s="325"/>
      <c r="P292" s="185"/>
      <c r="Q292" s="433"/>
      <c r="R292" s="581" t="s">
        <v>348</v>
      </c>
      <c r="S292" s="581" t="s">
        <v>2024</v>
      </c>
      <c r="U292" s="485" t="s">
        <v>548</v>
      </c>
      <c r="V292" s="485" t="s">
        <v>3594</v>
      </c>
      <c r="AA292" s="1332"/>
    </row>
    <row r="293" spans="6:27" ht="10.5" customHeight="1">
      <c r="F293" s="683"/>
      <c r="G293" s="433" t="s">
        <v>112</v>
      </c>
      <c r="H293" s="433" t="s">
        <v>1257</v>
      </c>
      <c r="I293" s="681" t="s">
        <v>113</v>
      </c>
      <c r="J293" s="681" t="s">
        <v>2700</v>
      </c>
      <c r="K293" s="687" t="s">
        <v>1220</v>
      </c>
      <c r="L293" s="688" t="s">
        <v>437</v>
      </c>
      <c r="M293" s="690" t="s">
        <v>2687</v>
      </c>
      <c r="N293" s="680" t="s">
        <v>357</v>
      </c>
      <c r="O293" s="325"/>
      <c r="P293" s="185"/>
      <c r="Q293" s="433"/>
      <c r="R293" s="581" t="s">
        <v>350</v>
      </c>
      <c r="S293" s="581" t="s">
        <v>907</v>
      </c>
      <c r="U293" s="485" t="s">
        <v>561</v>
      </c>
      <c r="V293" s="485" t="s">
        <v>3594</v>
      </c>
      <c r="AA293" s="1332"/>
    </row>
    <row r="294" spans="6:27" ht="10.5" customHeight="1">
      <c r="F294" s="683"/>
      <c r="G294" s="433" t="s">
        <v>114</v>
      </c>
      <c r="H294" s="433" t="s">
        <v>1257</v>
      </c>
      <c r="I294" s="681" t="s">
        <v>115</v>
      </c>
      <c r="J294" s="681" t="s">
        <v>2700</v>
      </c>
      <c r="K294" s="687" t="s">
        <v>2440</v>
      </c>
      <c r="L294" s="688" t="s">
        <v>437</v>
      </c>
      <c r="M294" s="690" t="s">
        <v>2687</v>
      </c>
      <c r="N294" s="680" t="s">
        <v>2014</v>
      </c>
      <c r="O294" s="325"/>
      <c r="P294" s="185"/>
      <c r="Q294" s="433"/>
      <c r="R294" s="581" t="s">
        <v>352</v>
      </c>
      <c r="S294" s="581" t="s">
        <v>184</v>
      </c>
      <c r="U294" s="485" t="s">
        <v>1694</v>
      </c>
      <c r="V294" s="485" t="s">
        <v>3594</v>
      </c>
      <c r="AA294" s="1332"/>
    </row>
    <row r="295" spans="6:27" ht="10.5" customHeight="1">
      <c r="F295" s="683"/>
      <c r="G295" s="433" t="s">
        <v>116</v>
      </c>
      <c r="H295" s="433" t="s">
        <v>1360</v>
      </c>
      <c r="I295" s="681" t="s">
        <v>117</v>
      </c>
      <c r="J295" s="681" t="s">
        <v>2700</v>
      </c>
      <c r="K295" s="687" t="s">
        <v>2441</v>
      </c>
      <c r="L295" s="688" t="s">
        <v>437</v>
      </c>
      <c r="M295" s="690" t="s">
        <v>2687</v>
      </c>
      <c r="N295" s="680" t="s">
        <v>2016</v>
      </c>
      <c r="O295" s="325"/>
      <c r="P295" s="185"/>
      <c r="Q295" s="433"/>
      <c r="R295" s="581" t="s">
        <v>354</v>
      </c>
      <c r="S295" s="581" t="s">
        <v>2484</v>
      </c>
      <c r="U295" s="485" t="s">
        <v>2173</v>
      </c>
      <c r="V295" s="485" t="s">
        <v>3594</v>
      </c>
      <c r="AA295" s="1332"/>
    </row>
    <row r="296" spans="6:27" ht="10.5" customHeight="1">
      <c r="F296" s="683"/>
      <c r="G296" s="433" t="s">
        <v>2024</v>
      </c>
      <c r="H296" s="433" t="s">
        <v>1360</v>
      </c>
      <c r="I296" s="679" t="s">
        <v>348</v>
      </c>
      <c r="J296" s="681" t="s">
        <v>2701</v>
      </c>
      <c r="K296" s="687" t="s">
        <v>2442</v>
      </c>
      <c r="L296" s="688" t="s">
        <v>438</v>
      </c>
      <c r="M296" s="690" t="s">
        <v>1239</v>
      </c>
      <c r="N296" s="680" t="s">
        <v>2232</v>
      </c>
      <c r="O296" s="325"/>
      <c r="P296" s="185"/>
      <c r="Q296" s="433"/>
      <c r="R296" s="682" t="s">
        <v>356</v>
      </c>
      <c r="S296" s="682" t="s">
        <v>1951</v>
      </c>
      <c r="U296" s="485" t="s">
        <v>3591</v>
      </c>
      <c r="V296" s="485" t="s">
        <v>3594</v>
      </c>
      <c r="AA296" s="1332"/>
    </row>
    <row r="297" spans="6:27" ht="10.5" customHeight="1">
      <c r="F297" s="683"/>
      <c r="G297" s="433" t="s">
        <v>2025</v>
      </c>
      <c r="H297" s="433" t="s">
        <v>1257</v>
      </c>
      <c r="I297" s="681" t="s">
        <v>2481</v>
      </c>
      <c r="J297" s="679" t="s">
        <v>2700</v>
      </c>
      <c r="K297" s="687" t="s">
        <v>2443</v>
      </c>
      <c r="L297" s="688" t="s">
        <v>437</v>
      </c>
      <c r="M297" s="690" t="s">
        <v>2687</v>
      </c>
      <c r="N297" s="680" t="s">
        <v>158</v>
      </c>
      <c r="O297" s="325"/>
      <c r="P297" s="185"/>
      <c r="Q297" s="433"/>
      <c r="R297" s="581" t="s">
        <v>358</v>
      </c>
      <c r="S297" s="581" t="s">
        <v>180</v>
      </c>
      <c r="U297" s="485" t="s">
        <v>2328</v>
      </c>
      <c r="V297" s="485" t="s">
        <v>3594</v>
      </c>
      <c r="AA297" s="1333"/>
    </row>
    <row r="298" spans="6:27" ht="10.5" customHeight="1">
      <c r="F298" s="683"/>
      <c r="G298" s="433" t="s">
        <v>2482</v>
      </c>
      <c r="H298" s="433" t="s">
        <v>1384</v>
      </c>
      <c r="I298" s="681" t="s">
        <v>2483</v>
      </c>
      <c r="J298" s="681" t="s">
        <v>2700</v>
      </c>
      <c r="K298" s="687" t="s">
        <v>435</v>
      </c>
      <c r="L298" s="688" t="s">
        <v>437</v>
      </c>
      <c r="M298" s="690" t="s">
        <v>2687</v>
      </c>
      <c r="N298" s="680" t="s">
        <v>159</v>
      </c>
      <c r="O298" s="325"/>
      <c r="P298" s="185"/>
      <c r="Q298" s="433"/>
      <c r="R298" s="581" t="s">
        <v>2015</v>
      </c>
      <c r="S298" s="581" t="s">
        <v>108</v>
      </c>
      <c r="U298" s="485" t="s">
        <v>412</v>
      </c>
      <c r="V298" s="485" t="s">
        <v>3594</v>
      </c>
      <c r="AA298" s="1332"/>
    </row>
    <row r="299" spans="6:27" ht="10.5" customHeight="1">
      <c r="F299" s="683"/>
      <c r="G299" s="433" t="s">
        <v>2484</v>
      </c>
      <c r="H299" s="433" t="s">
        <v>1384</v>
      </c>
      <c r="I299" s="681" t="s">
        <v>2485</v>
      </c>
      <c r="J299" s="681" t="s">
        <v>2700</v>
      </c>
      <c r="K299" s="687" t="s">
        <v>436</v>
      </c>
      <c r="L299" s="688" t="s">
        <v>437</v>
      </c>
      <c r="M299" s="690" t="s">
        <v>2687</v>
      </c>
      <c r="N299" s="680" t="s">
        <v>1637</v>
      </c>
      <c r="O299" s="325"/>
      <c r="P299" s="185"/>
      <c r="Q299" s="433"/>
      <c r="R299" s="581" t="s">
        <v>201</v>
      </c>
      <c r="S299" s="581" t="s">
        <v>1724</v>
      </c>
      <c r="U299" s="485" t="s">
        <v>1909</v>
      </c>
      <c r="V299" s="485" t="s">
        <v>3594</v>
      </c>
      <c r="AA299" s="1332"/>
    </row>
    <row r="300" spans="6:27" ht="10.5" customHeight="1">
      <c r="F300" s="371"/>
      <c r="G300" s="433" t="s">
        <v>2486</v>
      </c>
      <c r="H300" s="433" t="s">
        <v>1257</v>
      </c>
      <c r="I300" s="681" t="s">
        <v>1848</v>
      </c>
      <c r="J300" s="681" t="s">
        <v>2701</v>
      </c>
      <c r="K300" s="687" t="s">
        <v>1203</v>
      </c>
      <c r="L300" s="688" t="s">
        <v>438</v>
      </c>
      <c r="M300" s="689" t="s">
        <v>1239</v>
      </c>
      <c r="N300" s="680" t="s">
        <v>822</v>
      </c>
      <c r="O300" s="325"/>
      <c r="P300" s="185"/>
      <c r="Q300" s="433"/>
      <c r="R300" s="581" t="s">
        <v>2233</v>
      </c>
      <c r="S300" s="581" t="s">
        <v>201</v>
      </c>
      <c r="U300" s="485" t="s">
        <v>2352</v>
      </c>
      <c r="V300" s="485" t="s">
        <v>3594</v>
      </c>
      <c r="AA300" s="1332"/>
    </row>
    <row r="301" spans="6:27" ht="10.5" customHeight="1">
      <c r="F301" s="371"/>
      <c r="G301" s="348"/>
      <c r="H301" s="348"/>
      <c r="I301" s="348"/>
      <c r="J301" s="419"/>
      <c r="K301" s="348"/>
      <c r="L301" s="348"/>
      <c r="M301" s="406"/>
      <c r="N301" s="680" t="s">
        <v>824</v>
      </c>
      <c r="O301" s="325"/>
      <c r="P301" s="185"/>
      <c r="Q301" s="433"/>
      <c r="R301" s="581" t="s">
        <v>716</v>
      </c>
      <c r="S301" s="581" t="s">
        <v>2256</v>
      </c>
      <c r="U301" s="485" t="s">
        <v>581</v>
      </c>
      <c r="V301" s="485" t="s">
        <v>3594</v>
      </c>
      <c r="AA301" s="1332"/>
    </row>
    <row r="302" spans="6:27" ht="10.5" customHeight="1">
      <c r="F302" s="371"/>
      <c r="G302" s="348"/>
      <c r="H302" s="348"/>
      <c r="I302" s="348"/>
      <c r="J302" s="348"/>
      <c r="K302" s="348"/>
      <c r="L302" s="348"/>
      <c r="M302" s="348"/>
      <c r="N302" s="680" t="s">
        <v>826</v>
      </c>
      <c r="O302" s="325"/>
      <c r="P302" s="185"/>
      <c r="Q302" s="433"/>
      <c r="R302" s="682" t="s">
        <v>160</v>
      </c>
      <c r="S302" s="682" t="s">
        <v>1950</v>
      </c>
      <c r="U302" s="485" t="s">
        <v>1507</v>
      </c>
      <c r="V302" s="485" t="s">
        <v>3594</v>
      </c>
      <c r="AA302" s="1332"/>
    </row>
    <row r="303" spans="6:27" ht="10.5" customHeight="1">
      <c r="F303" s="371"/>
      <c r="G303" s="348"/>
      <c r="H303" s="348"/>
      <c r="I303" s="348"/>
      <c r="J303" s="348"/>
      <c r="K303" s="348"/>
      <c r="L303" s="348"/>
      <c r="M303" s="348"/>
      <c r="N303" s="680" t="s">
        <v>2507</v>
      </c>
      <c r="O303" s="325"/>
      <c r="P303" s="185"/>
      <c r="Q303" s="433"/>
      <c r="R303" s="581" t="s">
        <v>202</v>
      </c>
      <c r="S303" s="581" t="s">
        <v>652</v>
      </c>
      <c r="U303" s="485" t="s">
        <v>1639</v>
      </c>
      <c r="V303" s="485" t="s">
        <v>3594</v>
      </c>
      <c r="AA303" s="1333"/>
    </row>
    <row r="304" spans="6:27" ht="10.5" customHeight="1">
      <c r="F304" s="371"/>
      <c r="G304" s="348"/>
      <c r="H304" s="348"/>
      <c r="I304" s="348"/>
      <c r="J304" s="348"/>
      <c r="K304" s="348"/>
      <c r="L304" s="348"/>
      <c r="M304" s="348"/>
      <c r="N304" s="680" t="s">
        <v>2508</v>
      </c>
      <c r="O304" s="325"/>
      <c r="P304" s="185"/>
      <c r="Q304" s="433"/>
      <c r="R304" s="581" t="s">
        <v>2656</v>
      </c>
      <c r="S304" s="581" t="s">
        <v>2085</v>
      </c>
      <c r="U304" s="485" t="s">
        <v>2198</v>
      </c>
      <c r="V304" s="485" t="s">
        <v>3594</v>
      </c>
      <c r="AA304" s="1332"/>
    </row>
    <row r="305" spans="6:27" ht="10.5" customHeight="1">
      <c r="F305" s="371"/>
      <c r="G305" s="348"/>
      <c r="H305" s="348"/>
      <c r="I305" s="348"/>
      <c r="J305" s="348"/>
      <c r="K305" s="348"/>
      <c r="L305" s="348"/>
      <c r="M305" s="348"/>
      <c r="N305" s="680" t="s">
        <v>2510</v>
      </c>
      <c r="O305" s="325"/>
      <c r="P305" s="185"/>
      <c r="Q305" s="433"/>
      <c r="R305" s="581" t="s">
        <v>823</v>
      </c>
      <c r="S305" s="581" t="s">
        <v>108</v>
      </c>
      <c r="U305" s="485" t="s">
        <v>2200</v>
      </c>
      <c r="V305" s="485" t="s">
        <v>3594</v>
      </c>
      <c r="AA305" s="1332"/>
    </row>
    <row r="306" spans="6:27" ht="10.5" customHeight="1">
      <c r="F306" s="371"/>
      <c r="G306" s="348"/>
      <c r="H306" s="348"/>
      <c r="I306" s="348"/>
      <c r="J306" s="348"/>
      <c r="K306" s="348"/>
      <c r="L306" s="348"/>
      <c r="M306" s="348"/>
      <c r="N306" s="680" t="s">
        <v>2512</v>
      </c>
      <c r="O306" s="325"/>
      <c r="P306" s="185"/>
      <c r="Q306" s="433"/>
      <c r="R306" s="581" t="s">
        <v>825</v>
      </c>
      <c r="S306" s="581" t="s">
        <v>124</v>
      </c>
      <c r="U306" s="485" t="s">
        <v>1496</v>
      </c>
      <c r="V306" s="485" t="s">
        <v>3594</v>
      </c>
      <c r="AA306" s="1332"/>
    </row>
    <row r="307" spans="6:27" ht="10.5" customHeight="1">
      <c r="F307" s="371"/>
      <c r="G307" s="348"/>
      <c r="H307" s="348"/>
      <c r="I307" s="348"/>
      <c r="J307" s="348"/>
      <c r="K307" s="348"/>
      <c r="L307" s="348"/>
      <c r="M307" s="348"/>
      <c r="N307" s="680" t="s">
        <v>2513</v>
      </c>
      <c r="O307" s="325"/>
      <c r="P307" s="185"/>
      <c r="Q307" s="433"/>
      <c r="R307" s="581" t="s">
        <v>827</v>
      </c>
      <c r="S307" s="581" t="s">
        <v>339</v>
      </c>
      <c r="U307" s="485" t="s">
        <v>1613</v>
      </c>
      <c r="V307" s="485" t="s">
        <v>3594</v>
      </c>
      <c r="AA307" s="1332"/>
    </row>
    <row r="308" spans="6:27" ht="10.5" customHeight="1">
      <c r="F308" s="371"/>
      <c r="G308" s="348"/>
      <c r="H308" s="348"/>
      <c r="I308" s="348"/>
      <c r="J308" s="348"/>
      <c r="K308" s="348"/>
      <c r="L308" s="348"/>
      <c r="M308" s="348"/>
      <c r="N308" s="680" t="s">
        <v>395</v>
      </c>
      <c r="O308" s="325"/>
      <c r="P308" s="185"/>
      <c r="Q308" s="433"/>
      <c r="R308" s="581" t="s">
        <v>2994</v>
      </c>
      <c r="S308" s="581" t="s">
        <v>911</v>
      </c>
      <c r="U308" s="485" t="s">
        <v>1226</v>
      </c>
      <c r="V308" s="485" t="s">
        <v>3594</v>
      </c>
      <c r="AA308" s="1332"/>
    </row>
    <row r="309" spans="6:27" ht="10.5" customHeight="1">
      <c r="F309" s="371"/>
      <c r="G309" s="348"/>
      <c r="H309" s="348"/>
      <c r="I309" s="348"/>
      <c r="J309" s="348"/>
      <c r="K309" s="348"/>
      <c r="L309" s="348"/>
      <c r="M309" s="348"/>
      <c r="N309" s="680" t="s">
        <v>49</v>
      </c>
      <c r="O309" s="325"/>
      <c r="P309" s="185"/>
      <c r="Q309" s="433"/>
      <c r="R309" s="682" t="s">
        <v>2509</v>
      </c>
      <c r="S309" s="682" t="s">
        <v>1509</v>
      </c>
      <c r="U309" s="485" t="s">
        <v>1816</v>
      </c>
      <c r="V309" s="485" t="s">
        <v>3594</v>
      </c>
      <c r="AA309" s="1332"/>
    </row>
    <row r="310" spans="6:27" ht="10.5" customHeight="1">
      <c r="F310" s="371"/>
      <c r="G310" s="348"/>
      <c r="H310" s="348"/>
      <c r="I310" s="348"/>
      <c r="J310" s="348"/>
      <c r="K310" s="348"/>
      <c r="L310" s="348"/>
      <c r="M310" s="348"/>
      <c r="N310" s="680" t="s">
        <v>51</v>
      </c>
      <c r="O310" s="325"/>
      <c r="P310" s="185"/>
      <c r="Q310" s="433"/>
      <c r="R310" s="581" t="s">
        <v>2511</v>
      </c>
      <c r="S310" s="581" t="s">
        <v>1143</v>
      </c>
      <c r="U310" s="485" t="s">
        <v>1883</v>
      </c>
      <c r="V310" s="485" t="s">
        <v>3594</v>
      </c>
      <c r="AA310" s="1333"/>
    </row>
    <row r="311" spans="6:27" ht="10.5" customHeight="1">
      <c r="F311" s="371"/>
      <c r="G311" s="348"/>
      <c r="H311" s="348"/>
      <c r="I311" s="348"/>
      <c r="J311" s="348"/>
      <c r="K311" s="348"/>
      <c r="L311" s="348"/>
      <c r="M311" s="348"/>
      <c r="N311" s="680" t="s">
        <v>1996</v>
      </c>
      <c r="O311" s="325"/>
      <c r="P311" s="185"/>
      <c r="Q311" s="433"/>
      <c r="R311" s="581" t="s">
        <v>2657</v>
      </c>
      <c r="S311" s="581" t="s">
        <v>692</v>
      </c>
      <c r="U311" s="485" t="s">
        <v>1141</v>
      </c>
      <c r="V311" s="485" t="s">
        <v>3594</v>
      </c>
      <c r="AA311" s="1332"/>
    </row>
    <row r="312" spans="6:27" ht="10.5" customHeight="1">
      <c r="F312" s="371"/>
      <c r="G312" s="348"/>
      <c r="H312" s="348"/>
      <c r="I312" s="348"/>
      <c r="J312" s="348"/>
      <c r="K312" s="348"/>
      <c r="L312" s="348"/>
      <c r="M312" s="348"/>
      <c r="N312" s="680" t="s">
        <v>1997</v>
      </c>
      <c r="O312" s="325"/>
      <c r="P312" s="185"/>
      <c r="Q312" s="433"/>
      <c r="R312" s="581" t="s">
        <v>394</v>
      </c>
      <c r="S312" s="581" t="s">
        <v>2575</v>
      </c>
      <c r="U312" s="485" t="s">
        <v>3592</v>
      </c>
      <c r="V312" s="485" t="s">
        <v>3594</v>
      </c>
      <c r="AA312" s="1332"/>
    </row>
    <row r="313" spans="6:27" ht="10.5" customHeight="1">
      <c r="F313" s="371"/>
      <c r="G313" s="348"/>
      <c r="H313" s="348"/>
      <c r="I313" s="348"/>
      <c r="J313" s="348"/>
      <c r="K313" s="348"/>
      <c r="L313" s="348"/>
      <c r="M313" s="348"/>
      <c r="N313" s="680" t="s">
        <v>1999</v>
      </c>
      <c r="O313" s="325"/>
      <c r="P313" s="185"/>
      <c r="Q313" s="433"/>
      <c r="R313" s="684" t="s">
        <v>396</v>
      </c>
      <c r="S313" s="581" t="s">
        <v>2249</v>
      </c>
      <c r="U313" s="485" t="s">
        <v>2222</v>
      </c>
      <c r="V313" s="485" t="s">
        <v>3594</v>
      </c>
      <c r="AA313" s="1332"/>
    </row>
    <row r="314" spans="6:27" ht="10.5" customHeight="1">
      <c r="F314" s="371"/>
      <c r="G314" s="348"/>
      <c r="H314" s="348"/>
      <c r="I314" s="348"/>
      <c r="J314" s="348"/>
      <c r="K314" s="348"/>
      <c r="L314" s="348"/>
      <c r="M314" s="348"/>
      <c r="N314" s="680" t="s">
        <v>2000</v>
      </c>
      <c r="O314" s="325"/>
      <c r="P314" s="185"/>
      <c r="Q314" s="433"/>
      <c r="R314" s="581" t="s">
        <v>50</v>
      </c>
      <c r="S314" s="581" t="s">
        <v>987</v>
      </c>
      <c r="U314" s="485" t="s">
        <v>1576</v>
      </c>
      <c r="V314" s="485" t="s">
        <v>3594</v>
      </c>
      <c r="AA314" s="1334"/>
    </row>
    <row r="315" spans="6:27" ht="10.5" customHeight="1">
      <c r="F315" s="371"/>
      <c r="G315" s="348"/>
      <c r="H315" s="348"/>
      <c r="I315" s="348"/>
      <c r="J315" s="348"/>
      <c r="K315" s="348"/>
      <c r="L315" s="348"/>
      <c r="M315" s="348"/>
      <c r="N315" s="680" t="s">
        <v>2001</v>
      </c>
      <c r="O315" s="325"/>
      <c r="P315" s="185"/>
      <c r="Q315" s="433"/>
      <c r="R315" s="581" t="s">
        <v>52</v>
      </c>
      <c r="S315" s="581" t="s">
        <v>652</v>
      </c>
      <c r="U315" s="485" t="s">
        <v>65</v>
      </c>
      <c r="V315" s="485" t="s">
        <v>3594</v>
      </c>
      <c r="AA315" s="1332"/>
    </row>
    <row r="316" spans="6:27" ht="10.5" customHeight="1">
      <c r="F316" s="371"/>
      <c r="G316" s="348"/>
      <c r="H316" s="348"/>
      <c r="I316" s="348"/>
      <c r="J316" s="348"/>
      <c r="K316" s="348"/>
      <c r="L316" s="348"/>
      <c r="M316" s="348"/>
      <c r="N316" s="680" t="s">
        <v>2003</v>
      </c>
      <c r="O316" s="325"/>
      <c r="P316" s="185"/>
      <c r="Q316" s="433"/>
      <c r="R316" s="581" t="s">
        <v>906</v>
      </c>
      <c r="S316" s="581" t="s">
        <v>2573</v>
      </c>
      <c r="U316" s="485" t="s">
        <v>69</v>
      </c>
      <c r="V316" s="485" t="s">
        <v>3594</v>
      </c>
      <c r="AA316" s="1332"/>
    </row>
    <row r="317" spans="6:27" ht="10.5" customHeight="1">
      <c r="F317" s="371"/>
      <c r="G317" s="348"/>
      <c r="H317" s="348"/>
      <c r="I317" s="348"/>
      <c r="J317" s="348"/>
      <c r="K317" s="348"/>
      <c r="L317" s="348"/>
      <c r="M317" s="348"/>
      <c r="N317" s="680" t="s">
        <v>744</v>
      </c>
      <c r="O317" s="325"/>
      <c r="P317" s="185"/>
      <c r="Q317" s="433"/>
      <c r="R317" s="682" t="s">
        <v>1998</v>
      </c>
      <c r="S317" s="682" t="s">
        <v>906</v>
      </c>
      <c r="U317" s="485" t="s">
        <v>71</v>
      </c>
      <c r="V317" s="485" t="s">
        <v>3594</v>
      </c>
      <c r="AA317" s="1332"/>
    </row>
    <row r="318" spans="6:27" ht="10.5" customHeight="1">
      <c r="F318" s="371"/>
      <c r="G318" s="348"/>
      <c r="H318" s="348"/>
      <c r="I318" s="348"/>
      <c r="J318" s="348"/>
      <c r="K318" s="348"/>
      <c r="L318" s="348"/>
      <c r="M318" s="348"/>
      <c r="N318" s="680" t="s">
        <v>1181</v>
      </c>
      <c r="O318" s="325"/>
      <c r="P318" s="185"/>
      <c r="Q318" s="433"/>
      <c r="R318" s="682" t="s">
        <v>2658</v>
      </c>
      <c r="S318" s="682" t="s">
        <v>652</v>
      </c>
      <c r="U318" s="485" t="s">
        <v>808</v>
      </c>
      <c r="V318" s="485" t="s">
        <v>3594</v>
      </c>
      <c r="AA318" s="1333"/>
    </row>
    <row r="319" spans="6:27" ht="10.5" customHeight="1">
      <c r="F319" s="371"/>
      <c r="G319" s="348"/>
      <c r="H319" s="348"/>
      <c r="I319" s="348"/>
      <c r="J319" s="348"/>
      <c r="K319" s="348"/>
      <c r="L319" s="348"/>
      <c r="M319" s="348"/>
      <c r="N319" s="680" t="s">
        <v>1183</v>
      </c>
      <c r="O319" s="325"/>
      <c r="P319" s="185"/>
      <c r="Q319" s="433"/>
      <c r="R319" s="581" t="s">
        <v>2995</v>
      </c>
      <c r="S319" s="581" t="s">
        <v>2570</v>
      </c>
      <c r="U319" s="485" t="s">
        <v>974</v>
      </c>
      <c r="V319" s="485" t="s">
        <v>3594</v>
      </c>
      <c r="AA319" s="1333"/>
    </row>
    <row r="320" spans="6:27" ht="10.5" customHeight="1">
      <c r="F320" s="371"/>
      <c r="G320" s="348"/>
      <c r="H320" s="348"/>
      <c r="I320" s="348"/>
      <c r="J320" s="348"/>
      <c r="K320" s="348"/>
      <c r="L320" s="348"/>
      <c r="M320" s="348"/>
      <c r="N320" s="680" t="s">
        <v>1185</v>
      </c>
      <c r="O320" s="325"/>
      <c r="P320" s="185"/>
      <c r="Q320" s="433"/>
      <c r="R320" s="581" t="s">
        <v>2002</v>
      </c>
      <c r="S320" s="581" t="s">
        <v>1509</v>
      </c>
      <c r="U320" s="485" t="s">
        <v>1080</v>
      </c>
      <c r="V320" s="485" t="s">
        <v>3594</v>
      </c>
      <c r="AA320" s="1332"/>
    </row>
    <row r="321" spans="6:27" ht="10.5" customHeight="1">
      <c r="F321" s="371"/>
      <c r="G321" s="348"/>
      <c r="H321" s="348"/>
      <c r="I321" s="348"/>
      <c r="J321" s="348"/>
      <c r="K321" s="348"/>
      <c r="L321" s="348"/>
      <c r="M321" s="348"/>
      <c r="N321" s="680" t="s">
        <v>2600</v>
      </c>
      <c r="O321" s="325"/>
      <c r="P321" s="185"/>
      <c r="Q321" s="433"/>
      <c r="R321" s="581" t="s">
        <v>2004</v>
      </c>
      <c r="S321" s="581" t="s">
        <v>1509</v>
      </c>
      <c r="U321" s="485" t="s">
        <v>2348</v>
      </c>
      <c r="V321" s="485" t="s">
        <v>3594</v>
      </c>
      <c r="AA321" s="1332"/>
    </row>
    <row r="322" spans="6:27" ht="10.5" customHeight="1">
      <c r="F322" s="371"/>
      <c r="G322" s="348"/>
      <c r="H322" s="348"/>
      <c r="I322" s="348"/>
      <c r="J322" s="348"/>
      <c r="K322" s="348"/>
      <c r="L322" s="348"/>
      <c r="M322" s="348"/>
      <c r="N322" s="680" t="s">
        <v>2602</v>
      </c>
      <c r="O322" s="325"/>
      <c r="P322" s="185"/>
      <c r="Q322" s="433"/>
      <c r="R322" s="581" t="s">
        <v>745</v>
      </c>
      <c r="S322" s="581" t="s">
        <v>123</v>
      </c>
      <c r="U322" s="485" t="s">
        <v>2608</v>
      </c>
      <c r="V322" s="485" t="s">
        <v>3594</v>
      </c>
      <c r="AA322" s="1332"/>
    </row>
    <row r="323" spans="6:27" ht="10.5" customHeight="1">
      <c r="F323" s="371"/>
      <c r="G323" s="348"/>
      <c r="H323" s="348"/>
      <c r="I323" s="348"/>
      <c r="J323" s="348"/>
      <c r="K323" s="348"/>
      <c r="L323" s="348"/>
      <c r="M323" s="348"/>
      <c r="N323" s="680" t="s">
        <v>193</v>
      </c>
      <c r="O323" s="325"/>
      <c r="P323" s="185"/>
      <c r="Q323" s="433"/>
      <c r="R323" s="581" t="s">
        <v>717</v>
      </c>
      <c r="S323" s="581" t="s">
        <v>652</v>
      </c>
      <c r="U323" s="485" t="s">
        <v>2242</v>
      </c>
      <c r="V323" s="485" t="s">
        <v>3594</v>
      </c>
      <c r="AA323" s="1332"/>
    </row>
    <row r="324" spans="6:27" ht="10.5" customHeight="1">
      <c r="F324" s="371"/>
      <c r="G324" s="348"/>
      <c r="H324" s="348"/>
      <c r="I324" s="348"/>
      <c r="J324" s="348"/>
      <c r="K324" s="348"/>
      <c r="L324" s="348"/>
      <c r="M324" s="348"/>
      <c r="N324" s="680" t="s">
        <v>195</v>
      </c>
      <c r="O324" s="325"/>
      <c r="P324" s="185"/>
      <c r="Q324" s="433"/>
      <c r="R324" s="581" t="s">
        <v>2996</v>
      </c>
      <c r="S324" s="581" t="s">
        <v>164</v>
      </c>
      <c r="U324" s="485" t="s">
        <v>1672</v>
      </c>
      <c r="V324" s="485" t="s">
        <v>3594</v>
      </c>
      <c r="AA324" s="1332"/>
    </row>
    <row r="325" spans="6:27" ht="10.5" customHeight="1">
      <c r="F325" s="371"/>
      <c r="G325" s="348"/>
      <c r="H325" s="348"/>
      <c r="I325" s="348"/>
      <c r="J325" s="348"/>
      <c r="K325" s="348"/>
      <c r="L325" s="348"/>
      <c r="M325" s="348"/>
      <c r="N325" s="680" t="s">
        <v>1893</v>
      </c>
      <c r="O325" s="325"/>
      <c r="P325" s="185"/>
      <c r="Q325" s="433"/>
      <c r="R325" s="581" t="s">
        <v>2997</v>
      </c>
      <c r="S325" s="581" t="s">
        <v>329</v>
      </c>
      <c r="U325" s="485" t="s">
        <v>2501</v>
      </c>
      <c r="V325" s="485" t="s">
        <v>3594</v>
      </c>
      <c r="AA325" s="1332"/>
    </row>
    <row r="326" spans="6:27" ht="10.5" customHeight="1">
      <c r="F326" s="371"/>
      <c r="G326" s="348"/>
      <c r="H326" s="348"/>
      <c r="I326" s="348"/>
      <c r="J326" s="348"/>
      <c r="K326" s="348"/>
      <c r="L326" s="348"/>
      <c r="M326" s="348"/>
      <c r="N326" s="680" t="s">
        <v>1895</v>
      </c>
      <c r="O326" s="325"/>
      <c r="P326" s="185"/>
      <c r="Q326" s="433"/>
      <c r="R326" s="581" t="s">
        <v>1182</v>
      </c>
      <c r="S326" s="581" t="s">
        <v>1509</v>
      </c>
      <c r="U326" s="485" t="s">
        <v>847</v>
      </c>
      <c r="V326" s="485" t="s">
        <v>3594</v>
      </c>
      <c r="AA326" s="1332"/>
    </row>
    <row r="327" spans="6:27" ht="10.5" customHeight="1">
      <c r="F327" s="371"/>
      <c r="G327" s="348"/>
      <c r="H327" s="348"/>
      <c r="I327" s="348"/>
      <c r="J327" s="348"/>
      <c r="K327" s="348"/>
      <c r="L327" s="348"/>
      <c r="M327" s="348"/>
      <c r="N327" s="680" t="s">
        <v>1965</v>
      </c>
      <c r="O327" s="325"/>
      <c r="P327" s="185"/>
      <c r="Q327" s="433"/>
      <c r="R327" s="581" t="s">
        <v>1184</v>
      </c>
      <c r="S327" s="581" t="s">
        <v>688</v>
      </c>
      <c r="U327" s="485" t="s">
        <v>173</v>
      </c>
      <c r="V327" s="485" t="s">
        <v>3594</v>
      </c>
      <c r="AA327" s="1332"/>
    </row>
    <row r="328" spans="6:27" ht="10.5" customHeight="1">
      <c r="F328" s="371"/>
      <c r="G328" s="348"/>
      <c r="H328" s="348"/>
      <c r="I328" s="348"/>
      <c r="J328" s="348"/>
      <c r="K328" s="348"/>
      <c r="L328" s="348"/>
      <c r="M328" s="348"/>
      <c r="N328" s="680" t="s">
        <v>1967</v>
      </c>
      <c r="O328" s="325"/>
      <c r="P328" s="185"/>
      <c r="Q328" s="433"/>
      <c r="R328" s="581" t="s">
        <v>2659</v>
      </c>
      <c r="S328" s="581" t="s">
        <v>2251</v>
      </c>
      <c r="U328" s="485" t="s">
        <v>1375</v>
      </c>
      <c r="V328" s="485" t="s">
        <v>3594</v>
      </c>
      <c r="AA328" s="1332"/>
    </row>
    <row r="329" spans="6:27" ht="10.5" customHeight="1">
      <c r="F329" s="371"/>
      <c r="G329" s="348"/>
      <c r="H329" s="348"/>
      <c r="I329" s="348"/>
      <c r="J329" s="348"/>
      <c r="K329" s="348"/>
      <c r="L329" s="348"/>
      <c r="M329" s="348"/>
      <c r="N329" s="680" t="s">
        <v>1968</v>
      </c>
      <c r="O329" s="325"/>
      <c r="P329" s="185"/>
      <c r="Q329" s="433"/>
      <c r="R329" s="581" t="s">
        <v>2660</v>
      </c>
      <c r="S329" s="581" t="s">
        <v>2619</v>
      </c>
      <c r="U329" s="485" t="s">
        <v>1110</v>
      </c>
      <c r="V329" s="485" t="s">
        <v>3594</v>
      </c>
      <c r="AA329" s="1332"/>
    </row>
    <row r="330" spans="6:27" ht="10.5" customHeight="1">
      <c r="F330" s="371"/>
      <c r="G330" s="348"/>
      <c r="H330" s="348"/>
      <c r="I330" s="348"/>
      <c r="J330" s="348"/>
      <c r="K330" s="348"/>
      <c r="L330" s="348"/>
      <c r="M330" s="348"/>
      <c r="N330" s="680" t="s">
        <v>1970</v>
      </c>
      <c r="O330" s="325"/>
      <c r="P330" s="185"/>
      <c r="Q330" s="433"/>
      <c r="R330" s="581" t="s">
        <v>1186</v>
      </c>
      <c r="S330" s="581" t="s">
        <v>1252</v>
      </c>
      <c r="U330" s="485" t="s">
        <v>2068</v>
      </c>
      <c r="V330" s="485" t="s">
        <v>3594</v>
      </c>
      <c r="AA330" s="1332"/>
    </row>
    <row r="331" spans="6:27" ht="10.5" customHeight="1">
      <c r="F331" s="371"/>
      <c r="G331" s="348"/>
      <c r="H331" s="348"/>
      <c r="I331" s="348"/>
      <c r="J331" s="348"/>
      <c r="K331" s="348"/>
      <c r="L331" s="348"/>
      <c r="M331" s="348"/>
      <c r="N331" s="680" t="s">
        <v>1972</v>
      </c>
      <c r="O331" s="325"/>
      <c r="P331" s="185"/>
      <c r="Q331" s="433"/>
      <c r="R331" s="581" t="s">
        <v>2601</v>
      </c>
      <c r="S331" s="581" t="s">
        <v>205</v>
      </c>
      <c r="U331" s="485" t="s">
        <v>1962</v>
      </c>
      <c r="V331" s="485" t="s">
        <v>3594</v>
      </c>
      <c r="AA331" s="1332"/>
    </row>
    <row r="332" spans="6:27" ht="10.5" customHeight="1">
      <c r="F332" s="371"/>
      <c r="G332" s="348"/>
      <c r="H332" s="348"/>
      <c r="I332" s="348"/>
      <c r="J332" s="348"/>
      <c r="K332" s="348"/>
      <c r="L332" s="348"/>
      <c r="M332" s="348"/>
      <c r="N332" s="680" t="s">
        <v>2006</v>
      </c>
      <c r="O332" s="325"/>
      <c r="P332" s="185"/>
      <c r="Q332" s="433"/>
      <c r="R332" s="581" t="s">
        <v>472</v>
      </c>
      <c r="S332" s="581" t="s">
        <v>1139</v>
      </c>
      <c r="U332" s="485" t="s">
        <v>2624</v>
      </c>
      <c r="V332" s="485" t="s">
        <v>3594</v>
      </c>
      <c r="AA332" s="1332"/>
    </row>
    <row r="333" spans="6:27" ht="10.5" customHeight="1">
      <c r="F333" s="371"/>
      <c r="G333" s="348"/>
      <c r="H333" s="348"/>
      <c r="I333" s="348"/>
      <c r="J333" s="348"/>
      <c r="K333" s="348"/>
      <c r="L333" s="348"/>
      <c r="M333" s="348"/>
      <c r="N333" s="680" t="s">
        <v>2008</v>
      </c>
      <c r="O333" s="325"/>
      <c r="P333" s="185"/>
      <c r="Q333" s="433"/>
      <c r="R333" s="682" t="s">
        <v>194</v>
      </c>
      <c r="S333" s="682" t="s">
        <v>690</v>
      </c>
      <c r="U333" s="485" t="s">
        <v>1197</v>
      </c>
      <c r="V333" s="485" t="s">
        <v>3594</v>
      </c>
      <c r="AA333" s="1332"/>
    </row>
    <row r="334" spans="6:27" ht="10.5" customHeight="1">
      <c r="F334" s="371"/>
      <c r="G334" s="348"/>
      <c r="H334" s="348"/>
      <c r="I334" s="348"/>
      <c r="J334" s="348"/>
      <c r="K334" s="348"/>
      <c r="L334" s="348"/>
      <c r="M334" s="348"/>
      <c r="N334" s="680" t="s">
        <v>2009</v>
      </c>
      <c r="O334" s="325"/>
      <c r="P334" s="185"/>
      <c r="Q334" s="433"/>
      <c r="R334" s="682" t="s">
        <v>314</v>
      </c>
      <c r="S334" s="682" t="s">
        <v>1381</v>
      </c>
      <c r="U334" s="485" t="s">
        <v>2604</v>
      </c>
      <c r="V334" s="485" t="s">
        <v>3594</v>
      </c>
      <c r="AA334" s="1333"/>
    </row>
    <row r="335" spans="6:27" ht="10.5" customHeight="1">
      <c r="F335" s="371"/>
      <c r="G335" s="348"/>
      <c r="H335" s="348"/>
      <c r="I335" s="348"/>
      <c r="J335" s="348"/>
      <c r="K335" s="348"/>
      <c r="L335" s="348"/>
      <c r="M335" s="348"/>
      <c r="N335" s="680" t="s">
        <v>2011</v>
      </c>
      <c r="O335" s="325"/>
      <c r="P335" s="185"/>
      <c r="Q335" s="433"/>
      <c r="R335" s="682" t="s">
        <v>1894</v>
      </c>
      <c r="S335" s="682" t="s">
        <v>911</v>
      </c>
      <c r="U335" s="485" t="s">
        <v>848</v>
      </c>
      <c r="V335" s="485" t="s">
        <v>3594</v>
      </c>
      <c r="AA335" s="1333"/>
    </row>
    <row r="336" spans="6:27" ht="10.5" customHeight="1">
      <c r="F336" s="371"/>
      <c r="G336" s="348"/>
      <c r="H336" s="348"/>
      <c r="I336" s="348"/>
      <c r="J336" s="348"/>
      <c r="K336" s="348"/>
      <c r="L336" s="348"/>
      <c r="M336" s="348"/>
      <c r="N336" s="680" t="s">
        <v>2013</v>
      </c>
      <c r="O336" s="325"/>
      <c r="P336" s="185"/>
      <c r="Q336" s="433"/>
      <c r="R336" s="581" t="s">
        <v>1896</v>
      </c>
      <c r="S336" s="581" t="s">
        <v>1149</v>
      </c>
      <c r="U336" s="485" t="s">
        <v>2180</v>
      </c>
      <c r="V336" s="485" t="s">
        <v>3594</v>
      </c>
      <c r="AA336" s="1333"/>
    </row>
    <row r="337" spans="6:27" ht="10.5" customHeight="1">
      <c r="F337" s="371"/>
      <c r="G337" s="348"/>
      <c r="H337" s="348"/>
      <c r="I337" s="348"/>
      <c r="J337" s="348"/>
      <c r="K337" s="348"/>
      <c r="L337" s="348"/>
      <c r="M337" s="348"/>
      <c r="N337" s="680" t="s">
        <v>433</v>
      </c>
      <c r="O337" s="325"/>
      <c r="P337" s="185"/>
      <c r="Q337" s="433"/>
      <c r="R337" s="581" t="s">
        <v>1966</v>
      </c>
      <c r="S337" s="581" t="s">
        <v>2575</v>
      </c>
      <c r="U337" s="485" t="s">
        <v>972</v>
      </c>
      <c r="V337" s="485" t="s">
        <v>3594</v>
      </c>
      <c r="AA337" s="1332"/>
    </row>
    <row r="338" spans="6:27" ht="10.5" customHeight="1">
      <c r="F338" s="371"/>
      <c r="G338" s="348"/>
      <c r="H338" s="348"/>
      <c r="I338" s="348"/>
      <c r="J338" s="348"/>
      <c r="K338" s="348"/>
      <c r="L338" s="348"/>
      <c r="M338" s="348"/>
      <c r="N338" s="680" t="s">
        <v>135</v>
      </c>
      <c r="O338" s="325"/>
      <c r="P338" s="185"/>
      <c r="Q338" s="433"/>
      <c r="R338" s="682" t="s">
        <v>1969</v>
      </c>
      <c r="S338" s="682" t="s">
        <v>688</v>
      </c>
      <c r="U338" s="485" t="s">
        <v>2588</v>
      </c>
      <c r="V338" s="485" t="s">
        <v>3594</v>
      </c>
      <c r="AA338" s="1332"/>
    </row>
    <row r="339" spans="6:27" ht="10.5" customHeight="1">
      <c r="F339" s="371"/>
      <c r="G339" s="348"/>
      <c r="H339" s="348"/>
      <c r="I339" s="348"/>
      <c r="J339" s="348"/>
      <c r="K339" s="348"/>
      <c r="L339" s="348"/>
      <c r="M339" s="348"/>
      <c r="N339" s="680" t="s">
        <v>1738</v>
      </c>
      <c r="O339" s="325"/>
      <c r="P339" s="185"/>
      <c r="Q339" s="433"/>
      <c r="R339" s="581" t="s">
        <v>1971</v>
      </c>
      <c r="S339" s="581" t="s">
        <v>1363</v>
      </c>
      <c r="U339" s="485" t="s">
        <v>1979</v>
      </c>
      <c r="V339" s="485" t="s">
        <v>3594</v>
      </c>
      <c r="AA339" s="1333"/>
    </row>
    <row r="340" spans="6:27" ht="10.5" customHeight="1">
      <c r="F340" s="371"/>
      <c r="G340" s="348"/>
      <c r="H340" s="348"/>
      <c r="I340" s="348"/>
      <c r="J340" s="348"/>
      <c r="K340" s="348"/>
      <c r="L340" s="348"/>
      <c r="M340" s="348"/>
      <c r="N340" s="680" t="s">
        <v>1814</v>
      </c>
      <c r="O340" s="325"/>
      <c r="P340" s="185"/>
      <c r="Q340" s="433"/>
      <c r="R340" s="581" t="s">
        <v>2998</v>
      </c>
      <c r="S340" s="581" t="s">
        <v>205</v>
      </c>
      <c r="U340" s="485" t="s">
        <v>1467</v>
      </c>
      <c r="V340" s="485" t="s">
        <v>3594</v>
      </c>
      <c r="AA340" s="1332"/>
    </row>
    <row r="341" spans="6:27" ht="10.5" customHeight="1">
      <c r="F341" s="371"/>
      <c r="G341" s="348"/>
      <c r="H341" s="348"/>
      <c r="I341" s="348"/>
      <c r="J341" s="348"/>
      <c r="K341" s="348"/>
      <c r="L341" s="348"/>
      <c r="M341" s="348"/>
      <c r="N341" s="680" t="s">
        <v>2358</v>
      </c>
      <c r="O341" s="325"/>
      <c r="P341" s="185"/>
      <c r="Q341" s="433"/>
      <c r="R341" s="581" t="s">
        <v>1973</v>
      </c>
      <c r="S341" s="581" t="s">
        <v>1366</v>
      </c>
      <c r="U341" s="485" t="s">
        <v>2338</v>
      </c>
      <c r="V341" s="485" t="s">
        <v>3594</v>
      </c>
      <c r="AA341" s="1332"/>
    </row>
    <row r="342" spans="6:27" ht="10.5" customHeight="1">
      <c r="F342" s="371"/>
      <c r="G342" s="348"/>
      <c r="H342" s="348"/>
      <c r="I342" s="348"/>
      <c r="J342" s="348"/>
      <c r="K342" s="348"/>
      <c r="L342" s="348"/>
      <c r="M342" s="348"/>
      <c r="N342" s="680" t="s">
        <v>2360</v>
      </c>
      <c r="O342" s="325"/>
      <c r="P342" s="185"/>
      <c r="Q342" s="433"/>
      <c r="R342" s="581" t="s">
        <v>2007</v>
      </c>
      <c r="S342" s="581" t="s">
        <v>331</v>
      </c>
      <c r="U342" s="485" t="s">
        <v>2340</v>
      </c>
      <c r="V342" s="485" t="s">
        <v>3594</v>
      </c>
      <c r="AA342" s="1332"/>
    </row>
    <row r="343" spans="6:27" ht="10.5" customHeight="1">
      <c r="F343" s="371"/>
      <c r="G343" s="348"/>
      <c r="H343" s="348"/>
      <c r="I343" s="348"/>
      <c r="J343" s="348"/>
      <c r="K343" s="348"/>
      <c r="L343" s="348"/>
      <c r="M343" s="348"/>
      <c r="N343" s="680" t="s">
        <v>1028</v>
      </c>
      <c r="O343" s="325"/>
      <c r="P343" s="185"/>
      <c r="Q343" s="433"/>
      <c r="R343" s="581" t="s">
        <v>2999</v>
      </c>
      <c r="S343" s="581" t="s">
        <v>681</v>
      </c>
      <c r="U343" s="485" t="s">
        <v>1154</v>
      </c>
      <c r="V343" s="485" t="s">
        <v>3594</v>
      </c>
      <c r="AA343" s="1332"/>
    </row>
    <row r="344" spans="6:27" ht="10.5" customHeight="1">
      <c r="F344" s="371"/>
      <c r="G344" s="348"/>
      <c r="H344" s="348"/>
      <c r="I344" s="348"/>
      <c r="J344" s="348"/>
      <c r="K344" s="348"/>
      <c r="L344" s="348"/>
      <c r="M344" s="348"/>
      <c r="N344" s="680" t="s">
        <v>703</v>
      </c>
      <c r="O344" s="325"/>
      <c r="P344" s="185"/>
      <c r="Q344" s="433"/>
      <c r="R344" s="581" t="s">
        <v>2010</v>
      </c>
      <c r="S344" s="581" t="s">
        <v>2674</v>
      </c>
      <c r="U344" s="485" t="s">
        <v>2203</v>
      </c>
      <c r="V344" s="485" t="s">
        <v>3594</v>
      </c>
      <c r="AA344" s="1332"/>
    </row>
    <row r="345" spans="6:27" ht="10.5" customHeight="1">
      <c r="F345" s="371"/>
      <c r="G345" s="348"/>
      <c r="H345" s="348"/>
      <c r="I345" s="348"/>
      <c r="J345" s="348"/>
      <c r="K345" s="348"/>
      <c r="L345" s="348"/>
      <c r="M345" s="348"/>
      <c r="N345" s="680" t="s">
        <v>590</v>
      </c>
      <c r="O345" s="325"/>
      <c r="P345" s="185"/>
      <c r="Q345" s="433"/>
      <c r="R345" s="581" t="s">
        <v>2012</v>
      </c>
      <c r="S345" s="581" t="s">
        <v>1363</v>
      </c>
      <c r="U345" s="485" t="s">
        <v>2204</v>
      </c>
      <c r="V345" s="485" t="s">
        <v>3594</v>
      </c>
      <c r="AA345" s="1332"/>
    </row>
    <row r="346" spans="6:27" ht="10.5" customHeight="1">
      <c r="F346" s="371"/>
      <c r="G346" s="348"/>
      <c r="H346" s="348"/>
      <c r="I346" s="348"/>
      <c r="J346" s="348"/>
      <c r="K346" s="348"/>
      <c r="L346" s="348"/>
      <c r="M346" s="348"/>
      <c r="N346" s="680" t="s">
        <v>699</v>
      </c>
      <c r="O346" s="325"/>
      <c r="P346" s="185"/>
      <c r="Q346" s="433"/>
      <c r="R346" s="581" t="s">
        <v>2324</v>
      </c>
      <c r="S346" s="581" t="s">
        <v>2616</v>
      </c>
      <c r="U346" s="485" t="s">
        <v>2205</v>
      </c>
      <c r="V346" s="485" t="s">
        <v>3594</v>
      </c>
      <c r="AA346" s="1332"/>
    </row>
    <row r="347" spans="6:27" ht="10.5" customHeight="1">
      <c r="F347" s="371"/>
      <c r="G347" s="348"/>
      <c r="H347" s="348"/>
      <c r="I347" s="348"/>
      <c r="J347" s="348"/>
      <c r="K347" s="348"/>
      <c r="L347" s="348"/>
      <c r="M347" s="348"/>
      <c r="N347" s="680" t="s">
        <v>2472</v>
      </c>
      <c r="O347" s="325"/>
      <c r="P347" s="185"/>
      <c r="Q347" s="433"/>
      <c r="R347" s="581" t="s">
        <v>2661</v>
      </c>
      <c r="S347" s="581" t="s">
        <v>2251</v>
      </c>
      <c r="U347" s="485" t="s">
        <v>2413</v>
      </c>
      <c r="V347" s="485" t="s">
        <v>3594</v>
      </c>
      <c r="AA347" s="1332"/>
    </row>
    <row r="348" spans="6:27" ht="10.5" customHeight="1">
      <c r="F348" s="371"/>
      <c r="G348" s="348"/>
      <c r="H348" s="348"/>
      <c r="I348" s="348"/>
      <c r="J348" s="348"/>
      <c r="K348" s="348"/>
      <c r="L348" s="348"/>
      <c r="M348" s="348"/>
      <c r="N348" s="680" t="s">
        <v>228</v>
      </c>
      <c r="O348" s="325"/>
      <c r="P348" s="185"/>
      <c r="Q348" s="433"/>
      <c r="R348" s="581" t="s">
        <v>2662</v>
      </c>
      <c r="S348" s="581" t="s">
        <v>2572</v>
      </c>
      <c r="U348" s="485" t="s">
        <v>2415</v>
      </c>
      <c r="V348" s="485" t="s">
        <v>3594</v>
      </c>
      <c r="AA348" s="1332"/>
    </row>
    <row r="349" spans="6:27" ht="10.5" customHeight="1">
      <c r="F349" s="371"/>
      <c r="G349" s="348"/>
      <c r="H349" s="348"/>
      <c r="I349" s="348"/>
      <c r="J349" s="348"/>
      <c r="K349" s="348"/>
      <c r="L349" s="348"/>
      <c r="M349" s="348"/>
      <c r="N349" s="680" t="s">
        <v>812</v>
      </c>
      <c r="O349" s="325"/>
      <c r="P349" s="185"/>
      <c r="Q349" s="433"/>
      <c r="R349" s="581" t="s">
        <v>434</v>
      </c>
      <c r="S349" s="581" t="s">
        <v>1252</v>
      </c>
      <c r="U349" s="485" t="s">
        <v>2341</v>
      </c>
      <c r="V349" s="485" t="s">
        <v>3594</v>
      </c>
      <c r="AA349" s="1332"/>
    </row>
    <row r="350" spans="6:27" ht="10.5" customHeight="1">
      <c r="F350" s="371"/>
      <c r="G350" s="348"/>
      <c r="H350" s="348"/>
      <c r="I350" s="348"/>
      <c r="J350" s="348"/>
      <c r="K350" s="348"/>
      <c r="L350" s="348"/>
      <c r="M350" s="348"/>
      <c r="N350" s="680" t="s">
        <v>813</v>
      </c>
      <c r="O350" s="325"/>
      <c r="P350" s="185"/>
      <c r="Q350" s="433"/>
      <c r="R350" s="682" t="s">
        <v>236</v>
      </c>
      <c r="S350" s="682" t="s">
        <v>693</v>
      </c>
      <c r="U350" s="485" t="s">
        <v>1685</v>
      </c>
      <c r="V350" s="485" t="s">
        <v>3594</v>
      </c>
      <c r="AA350" s="1332"/>
    </row>
    <row r="351" spans="6:27" ht="10.5" customHeight="1">
      <c r="F351" s="371"/>
      <c r="G351" s="348"/>
      <c r="H351" s="348"/>
      <c r="I351" s="348"/>
      <c r="J351" s="348"/>
      <c r="K351" s="348"/>
      <c r="L351" s="348"/>
      <c r="M351" s="348"/>
      <c r="N351" s="680" t="s">
        <v>240</v>
      </c>
      <c r="O351" s="325"/>
      <c r="P351" s="185"/>
      <c r="Q351" s="433"/>
      <c r="R351" s="581" t="s">
        <v>2663</v>
      </c>
      <c r="S351" s="581" t="s">
        <v>2083</v>
      </c>
      <c r="U351" s="485" t="s">
        <v>1750</v>
      </c>
      <c r="V351" s="485" t="s">
        <v>3594</v>
      </c>
      <c r="AA351" s="1333"/>
    </row>
    <row r="352" spans="6:27" ht="10.5" customHeight="1">
      <c r="F352" s="371"/>
      <c r="G352" s="348"/>
      <c r="H352" s="348"/>
      <c r="I352" s="348"/>
      <c r="J352" s="348"/>
      <c r="K352" s="348"/>
      <c r="L352" s="348"/>
      <c r="M352" s="348"/>
      <c r="N352" s="680" t="s">
        <v>242</v>
      </c>
      <c r="O352" s="325"/>
      <c r="P352" s="185"/>
      <c r="Q352" s="433"/>
      <c r="R352" s="581" t="s">
        <v>1739</v>
      </c>
      <c r="S352" s="581" t="s">
        <v>2570</v>
      </c>
      <c r="U352" s="485" t="s">
        <v>1115</v>
      </c>
      <c r="V352" s="485" t="s">
        <v>3594</v>
      </c>
      <c r="AA352" s="1332"/>
    </row>
    <row r="353" spans="6:27" ht="10.5" customHeight="1">
      <c r="F353" s="371"/>
      <c r="G353" s="348"/>
      <c r="H353" s="348"/>
      <c r="I353" s="348"/>
      <c r="J353" s="348"/>
      <c r="K353" s="348"/>
      <c r="L353" s="348"/>
      <c r="M353" s="348"/>
      <c r="N353" s="680" t="s">
        <v>244</v>
      </c>
      <c r="O353" s="325"/>
      <c r="P353" s="185"/>
      <c r="Q353" s="433"/>
      <c r="R353" s="581" t="s">
        <v>2359</v>
      </c>
      <c r="S353" s="581" t="s">
        <v>683</v>
      </c>
      <c r="U353" s="485" t="s">
        <v>1757</v>
      </c>
      <c r="V353" s="485" t="s">
        <v>3594</v>
      </c>
      <c r="AA353" s="1332"/>
    </row>
    <row r="354" spans="6:27" ht="10.5" customHeight="1">
      <c r="F354" s="371"/>
      <c r="G354" s="348"/>
      <c r="H354" s="348"/>
      <c r="I354" s="348"/>
      <c r="J354" s="348"/>
      <c r="K354" s="348"/>
      <c r="L354" s="348"/>
      <c r="M354" s="348"/>
      <c r="N354" s="680" t="s">
        <v>817</v>
      </c>
      <c r="O354" s="325"/>
      <c r="P354" s="185"/>
      <c r="Q354" s="433"/>
      <c r="R354" s="581" t="s">
        <v>2361</v>
      </c>
      <c r="S354" s="581" t="s">
        <v>1364</v>
      </c>
      <c r="U354" s="485" t="s">
        <v>1758</v>
      </c>
      <c r="V354" s="485" t="s">
        <v>3594</v>
      </c>
      <c r="AA354" s="1332"/>
    </row>
    <row r="355" spans="6:27" ht="10.5" customHeight="1">
      <c r="F355" s="371"/>
      <c r="G355" s="348"/>
      <c r="H355" s="348"/>
      <c r="I355" s="348"/>
      <c r="J355" s="348"/>
      <c r="K355" s="348"/>
      <c r="L355" s="348"/>
      <c r="M355" s="348"/>
      <c r="N355" s="680" t="s">
        <v>818</v>
      </c>
      <c r="O355" s="325"/>
      <c r="P355" s="185"/>
      <c r="Q355" s="433"/>
      <c r="R355" s="581" t="s">
        <v>1029</v>
      </c>
      <c r="S355" s="581" t="s">
        <v>1512</v>
      </c>
      <c r="U355" s="485" t="s">
        <v>1760</v>
      </c>
      <c r="V355" s="485" t="s">
        <v>3594</v>
      </c>
      <c r="AA355" s="1332"/>
    </row>
    <row r="356" spans="6:27" ht="10.5" customHeight="1">
      <c r="F356" s="371"/>
      <c r="G356" s="348"/>
      <c r="H356" s="348"/>
      <c r="I356" s="348"/>
      <c r="J356" s="348"/>
      <c r="K356" s="348"/>
      <c r="L356" s="348"/>
      <c r="M356" s="348"/>
      <c r="N356" s="680" t="s">
        <v>820</v>
      </c>
      <c r="O356" s="325"/>
      <c r="P356" s="185"/>
      <c r="Q356" s="433"/>
      <c r="R356" s="581" t="s">
        <v>591</v>
      </c>
      <c r="S356" s="581" t="s">
        <v>1380</v>
      </c>
      <c r="U356" s="485" t="s">
        <v>1763</v>
      </c>
      <c r="V356" s="485" t="s">
        <v>3594</v>
      </c>
      <c r="AA356" s="1332"/>
    </row>
    <row r="357" spans="6:27" ht="10.5" customHeight="1">
      <c r="F357" s="371"/>
      <c r="G357" s="348"/>
      <c r="H357" s="348"/>
      <c r="I357" s="348"/>
      <c r="J357" s="348"/>
      <c r="K357" s="348"/>
      <c r="L357" s="348"/>
      <c r="M357" s="348"/>
      <c r="N357" s="680" t="s">
        <v>1611</v>
      </c>
      <c r="O357" s="325"/>
      <c r="P357" s="185"/>
      <c r="Q357" s="433"/>
      <c r="R357" s="581" t="s">
        <v>700</v>
      </c>
      <c r="S357" s="581" t="s">
        <v>324</v>
      </c>
      <c r="U357" s="485" t="s">
        <v>1765</v>
      </c>
      <c r="V357" s="485" t="s">
        <v>3594</v>
      </c>
      <c r="AA357" s="1332"/>
    </row>
    <row r="358" spans="6:27" ht="10.5" customHeight="1">
      <c r="F358" s="371"/>
      <c r="G358" s="348"/>
      <c r="H358" s="348"/>
      <c r="I358" s="348"/>
      <c r="J358" s="348"/>
      <c r="K358" s="348"/>
      <c r="L358" s="348"/>
      <c r="M358" s="348"/>
      <c r="N358" s="680" t="s">
        <v>1266</v>
      </c>
      <c r="O358" s="325"/>
      <c r="P358" s="185"/>
      <c r="Q358" s="433"/>
      <c r="R358" s="581" t="s">
        <v>2473</v>
      </c>
      <c r="S358" s="581" t="s">
        <v>162</v>
      </c>
      <c r="U358" s="485" t="s">
        <v>1766</v>
      </c>
      <c r="V358" s="485" t="s">
        <v>3594</v>
      </c>
      <c r="AA358" s="1332"/>
    </row>
    <row r="359" spans="6:27" ht="10.5" customHeight="1">
      <c r="F359" s="371"/>
      <c r="G359" s="348"/>
      <c r="H359" s="348"/>
      <c r="I359" s="348"/>
      <c r="J359" s="348"/>
      <c r="K359" s="348"/>
      <c r="L359" s="348"/>
      <c r="M359" s="348"/>
      <c r="N359" s="680" t="s">
        <v>1268</v>
      </c>
      <c r="O359" s="325"/>
      <c r="P359" s="185"/>
      <c r="Q359" s="433"/>
      <c r="R359" s="581" t="s">
        <v>229</v>
      </c>
      <c r="S359" s="581" t="s">
        <v>2569</v>
      </c>
      <c r="U359" s="485" t="s">
        <v>1768</v>
      </c>
      <c r="V359" s="485" t="s">
        <v>3594</v>
      </c>
      <c r="AA359" s="1332"/>
    </row>
    <row r="360" spans="6:27" ht="10.5" customHeight="1">
      <c r="F360" s="371"/>
      <c r="G360" s="348"/>
      <c r="H360" s="348"/>
      <c r="I360" s="348"/>
      <c r="J360" s="348"/>
      <c r="K360" s="348"/>
      <c r="L360" s="348"/>
      <c r="M360" s="348"/>
      <c r="N360" s="680" t="s">
        <v>931</v>
      </c>
      <c r="O360" s="325"/>
      <c r="P360" s="185"/>
      <c r="Q360" s="433"/>
      <c r="R360" s="581" t="s">
        <v>685</v>
      </c>
      <c r="S360" s="581" t="s">
        <v>1694</v>
      </c>
      <c r="U360" s="485" t="s">
        <v>1772</v>
      </c>
      <c r="V360" s="485" t="s">
        <v>3594</v>
      </c>
      <c r="AA360" s="1332"/>
    </row>
    <row r="361" spans="6:27" ht="10.5" customHeight="1">
      <c r="F361" s="371"/>
      <c r="G361" s="348"/>
      <c r="H361" s="348"/>
      <c r="I361" s="348"/>
      <c r="J361" s="348"/>
      <c r="K361" s="348"/>
      <c r="L361" s="348"/>
      <c r="M361" s="348"/>
      <c r="N361" s="680" t="s">
        <v>2547</v>
      </c>
      <c r="O361" s="325"/>
      <c r="P361" s="185"/>
      <c r="Q361" s="433"/>
      <c r="R361" s="581" t="s">
        <v>2446</v>
      </c>
      <c r="S361" s="581" t="s">
        <v>2567</v>
      </c>
      <c r="U361" s="485" t="s">
        <v>1773</v>
      </c>
      <c r="V361" s="485" t="s">
        <v>3594</v>
      </c>
      <c r="AA361" s="1332"/>
    </row>
    <row r="362" spans="6:27" ht="10.5" customHeight="1">
      <c r="F362" s="371"/>
      <c r="G362" s="348"/>
      <c r="H362" s="348"/>
      <c r="I362" s="348"/>
      <c r="J362" s="348"/>
      <c r="K362" s="348"/>
      <c r="L362" s="348"/>
      <c r="M362" s="348"/>
      <c r="N362" s="680" t="s">
        <v>934</v>
      </c>
      <c r="O362" s="325"/>
      <c r="P362" s="185"/>
      <c r="Q362" s="433"/>
      <c r="R362" s="581" t="s">
        <v>241</v>
      </c>
      <c r="S362" s="581" t="s">
        <v>1577</v>
      </c>
      <c r="U362" s="485" t="s">
        <v>1774</v>
      </c>
      <c r="V362" s="485" t="s">
        <v>3594</v>
      </c>
      <c r="AA362" s="1332"/>
    </row>
    <row r="363" spans="6:27" ht="10.5" customHeight="1">
      <c r="F363" s="371"/>
      <c r="G363" s="348"/>
      <c r="H363" s="348"/>
      <c r="I363" s="348"/>
      <c r="J363" s="348"/>
      <c r="K363" s="348"/>
      <c r="L363" s="348"/>
      <c r="M363" s="348"/>
      <c r="N363" s="680" t="s">
        <v>936</v>
      </c>
      <c r="O363" s="325"/>
      <c r="P363" s="185"/>
      <c r="Q363" s="433"/>
      <c r="R363" s="581" t="s">
        <v>1083</v>
      </c>
      <c r="S363" s="581" t="s">
        <v>1512</v>
      </c>
      <c r="U363" s="485" t="s">
        <v>108</v>
      </c>
      <c r="V363" s="485" t="s">
        <v>3594</v>
      </c>
      <c r="AA363" s="1332"/>
    </row>
    <row r="364" spans="6:27" ht="10.5" customHeight="1">
      <c r="F364" s="371"/>
      <c r="G364" s="348"/>
      <c r="H364" s="348"/>
      <c r="I364" s="348"/>
      <c r="J364" s="348"/>
      <c r="K364" s="348"/>
      <c r="L364" s="348"/>
      <c r="M364" s="348"/>
      <c r="N364" s="680" t="s">
        <v>938</v>
      </c>
      <c r="O364" s="325"/>
      <c r="P364" s="185"/>
      <c r="Q364" s="433"/>
      <c r="R364" s="581" t="s">
        <v>243</v>
      </c>
      <c r="S364" s="581" t="s">
        <v>1129</v>
      </c>
      <c r="U364" s="485" t="s">
        <v>309</v>
      </c>
      <c r="V364" s="485" t="s">
        <v>3594</v>
      </c>
      <c r="AA364" s="1332"/>
    </row>
    <row r="365" spans="6:27" ht="10.5" customHeight="1">
      <c r="F365" s="371"/>
      <c r="G365" s="348"/>
      <c r="H365" s="348"/>
      <c r="I365" s="348"/>
      <c r="J365" s="348"/>
      <c r="K365" s="348"/>
      <c r="L365" s="348"/>
      <c r="M365" s="348"/>
      <c r="N365" s="680" t="s">
        <v>940</v>
      </c>
      <c r="O365" s="325"/>
      <c r="P365" s="185"/>
      <c r="Q365" s="433"/>
      <c r="R365" s="581" t="s">
        <v>686</v>
      </c>
      <c r="S365" s="581" t="s">
        <v>331</v>
      </c>
      <c r="U365" s="485" t="s">
        <v>310</v>
      </c>
      <c r="V365" s="485" t="s">
        <v>3594</v>
      </c>
      <c r="AA365" s="1332"/>
    </row>
    <row r="366" spans="6:27" ht="10.5" customHeight="1">
      <c r="F366" s="371"/>
      <c r="G366" s="348"/>
      <c r="H366" s="348"/>
      <c r="I366" s="348"/>
      <c r="J366" s="348"/>
      <c r="K366" s="348"/>
      <c r="L366" s="348"/>
      <c r="M366" s="348"/>
      <c r="N366" s="680" t="s">
        <v>942</v>
      </c>
      <c r="O366" s="325"/>
      <c r="P366" s="185"/>
      <c r="Q366" s="433"/>
      <c r="R366" s="581" t="s">
        <v>819</v>
      </c>
      <c r="S366" s="581" t="s">
        <v>686</v>
      </c>
      <c r="U366" s="485" t="s">
        <v>311</v>
      </c>
      <c r="V366" s="485" t="s">
        <v>3594</v>
      </c>
      <c r="AA366" s="1332"/>
    </row>
    <row r="367" spans="6:27" ht="10.5" customHeight="1">
      <c r="F367" s="371"/>
      <c r="G367" s="348"/>
      <c r="H367" s="348"/>
      <c r="I367" s="348"/>
      <c r="J367" s="348"/>
      <c r="K367" s="348"/>
      <c r="L367" s="348"/>
      <c r="M367" s="348"/>
      <c r="N367" s="680" t="s">
        <v>705</v>
      </c>
      <c r="O367" s="325"/>
      <c r="P367" s="185"/>
      <c r="Q367" s="433"/>
      <c r="R367" s="581" t="s">
        <v>1265</v>
      </c>
      <c r="S367" s="581" t="s">
        <v>2575</v>
      </c>
      <c r="U367" s="485" t="s">
        <v>1598</v>
      </c>
      <c r="V367" s="485" t="s">
        <v>3594</v>
      </c>
      <c r="AA367" s="1332"/>
    </row>
    <row r="368" spans="6:27" ht="10.5" customHeight="1">
      <c r="F368" s="371"/>
      <c r="G368" s="348"/>
      <c r="H368" s="348"/>
      <c r="I368" s="348"/>
      <c r="J368" s="348"/>
      <c r="K368" s="348"/>
      <c r="L368" s="348"/>
      <c r="M368" s="348"/>
      <c r="N368" s="680" t="s">
        <v>56</v>
      </c>
      <c r="O368" s="325"/>
      <c r="P368" s="185"/>
      <c r="Q368" s="433"/>
      <c r="R368" s="581" t="s">
        <v>1267</v>
      </c>
      <c r="S368" s="581" t="s">
        <v>324</v>
      </c>
      <c r="U368" s="485" t="s">
        <v>1599</v>
      </c>
      <c r="V368" s="485" t="s">
        <v>3594</v>
      </c>
      <c r="AA368" s="1332"/>
    </row>
    <row r="369" spans="6:27" ht="10.5" customHeight="1">
      <c r="F369" s="371"/>
      <c r="G369" s="348"/>
      <c r="H369" s="348"/>
      <c r="I369" s="348"/>
      <c r="J369" s="348"/>
      <c r="K369" s="348"/>
      <c r="L369" s="348"/>
      <c r="M369" s="348"/>
      <c r="N369" s="680" t="s">
        <v>995</v>
      </c>
      <c r="O369" s="325"/>
      <c r="P369" s="185"/>
      <c r="Q369" s="433"/>
      <c r="R369" s="581" t="s">
        <v>1269</v>
      </c>
      <c r="S369" s="581" t="s">
        <v>164</v>
      </c>
      <c r="U369" s="485" t="s">
        <v>1600</v>
      </c>
      <c r="V369" s="485" t="s">
        <v>3594</v>
      </c>
      <c r="AA369" s="1332"/>
    </row>
    <row r="370" spans="6:27" ht="10.5" customHeight="1">
      <c r="F370" s="371"/>
      <c r="G370" s="348"/>
      <c r="H370" s="348"/>
      <c r="I370" s="348"/>
      <c r="J370" s="348"/>
      <c r="K370" s="348"/>
      <c r="L370" s="348"/>
      <c r="M370" s="348"/>
      <c r="N370" s="680" t="s">
        <v>1807</v>
      </c>
      <c r="O370" s="325"/>
      <c r="P370" s="185"/>
      <c r="Q370" s="433"/>
      <c r="R370" s="581" t="s">
        <v>932</v>
      </c>
      <c r="S370" s="581" t="s">
        <v>2322</v>
      </c>
      <c r="U370" s="485" t="s">
        <v>1605</v>
      </c>
      <c r="V370" s="485" t="s">
        <v>3594</v>
      </c>
      <c r="AA370" s="1332"/>
    </row>
    <row r="371" spans="6:27" ht="10.5" customHeight="1">
      <c r="F371" s="371"/>
      <c r="G371" s="348"/>
      <c r="H371" s="348"/>
      <c r="I371" s="348"/>
      <c r="J371" s="348"/>
      <c r="K371" s="348"/>
      <c r="L371" s="348"/>
      <c r="M371" s="348"/>
      <c r="N371" s="680" t="s">
        <v>1034</v>
      </c>
      <c r="O371" s="325"/>
      <c r="P371" s="185"/>
      <c r="Q371" s="433"/>
      <c r="R371" s="581" t="s">
        <v>2548</v>
      </c>
      <c r="S371" s="581" t="s">
        <v>1952</v>
      </c>
      <c r="U371" s="485" t="s">
        <v>2468</v>
      </c>
      <c r="V371" s="485" t="s">
        <v>3594</v>
      </c>
      <c r="AA371" s="1332"/>
    </row>
    <row r="372" spans="6:27" ht="10.5" customHeight="1">
      <c r="F372" s="371"/>
      <c r="G372" s="348"/>
      <c r="H372" s="348"/>
      <c r="I372" s="348"/>
      <c r="J372" s="348"/>
      <c r="K372" s="348"/>
      <c r="L372" s="348"/>
      <c r="M372" s="348"/>
      <c r="N372" s="680" t="s">
        <v>1035</v>
      </c>
      <c r="O372" s="325"/>
      <c r="P372" s="185"/>
      <c r="Q372" s="433"/>
      <c r="R372" s="581" t="s">
        <v>935</v>
      </c>
      <c r="S372" s="581" t="s">
        <v>2258</v>
      </c>
      <c r="U372" s="485" t="s">
        <v>866</v>
      </c>
      <c r="V372" s="485" t="s">
        <v>3594</v>
      </c>
      <c r="AA372" s="1332"/>
    </row>
    <row r="373" spans="6:27" ht="10.5" customHeight="1">
      <c r="F373" s="371"/>
      <c r="G373" s="348"/>
      <c r="H373" s="348"/>
      <c r="I373" s="348"/>
      <c r="J373" s="348"/>
      <c r="K373" s="348"/>
      <c r="L373" s="348"/>
      <c r="M373" s="348"/>
      <c r="N373" s="680" t="s">
        <v>1037</v>
      </c>
      <c r="O373" s="325"/>
      <c r="P373" s="185"/>
      <c r="Q373" s="433"/>
      <c r="R373" s="682" t="s">
        <v>937</v>
      </c>
      <c r="S373" s="682" t="s">
        <v>1141</v>
      </c>
      <c r="U373" s="485" t="s">
        <v>868</v>
      </c>
      <c r="V373" s="485" t="s">
        <v>3594</v>
      </c>
      <c r="AA373" s="1332"/>
    </row>
    <row r="374" spans="6:27" ht="10.5" customHeight="1">
      <c r="F374" s="371"/>
      <c r="G374" s="348"/>
      <c r="H374" s="348"/>
      <c r="I374" s="348"/>
      <c r="J374" s="348"/>
      <c r="K374" s="348"/>
      <c r="L374" s="348"/>
      <c r="M374" s="348"/>
      <c r="N374" s="680" t="s">
        <v>1016</v>
      </c>
      <c r="O374" s="325"/>
      <c r="P374" s="185"/>
      <c r="Q374" s="433"/>
      <c r="R374" s="581" t="s">
        <v>939</v>
      </c>
      <c r="S374" s="581" t="s">
        <v>690</v>
      </c>
      <c r="AA374" s="1333"/>
    </row>
    <row r="375" spans="6:27" ht="10.5" customHeight="1">
      <c r="F375" s="371"/>
      <c r="G375" s="348"/>
      <c r="H375" s="348"/>
      <c r="I375" s="348"/>
      <c r="J375" s="348"/>
      <c r="K375" s="348"/>
      <c r="L375" s="348"/>
      <c r="M375" s="348"/>
      <c r="N375" s="680" t="s">
        <v>1018</v>
      </c>
      <c r="O375" s="325"/>
      <c r="P375" s="185"/>
      <c r="Q375" s="433"/>
      <c r="R375" s="581" t="s">
        <v>941</v>
      </c>
      <c r="S375" s="581" t="s">
        <v>324</v>
      </c>
      <c r="AA375" s="1332"/>
    </row>
    <row r="376" spans="6:27" ht="10.5" customHeight="1">
      <c r="F376" s="371"/>
      <c r="G376" s="348"/>
      <c r="H376" s="348"/>
      <c r="I376" s="348"/>
      <c r="J376" s="348"/>
      <c r="K376" s="348"/>
      <c r="L376" s="348"/>
      <c r="M376" s="348"/>
      <c r="N376" s="680" t="s">
        <v>1020</v>
      </c>
      <c r="O376" s="325"/>
      <c r="P376" s="185"/>
      <c r="Q376" s="433"/>
      <c r="R376" s="581" t="s">
        <v>943</v>
      </c>
      <c r="S376" s="581" t="s">
        <v>1378</v>
      </c>
      <c r="AA376" s="1332"/>
    </row>
    <row r="377" spans="6:27" ht="10.5" customHeight="1">
      <c r="F377" s="371"/>
      <c r="G377" s="348"/>
      <c r="H377" s="348"/>
      <c r="I377" s="348"/>
      <c r="J377" s="348"/>
      <c r="K377" s="348"/>
      <c r="L377" s="348"/>
      <c r="M377" s="348"/>
      <c r="N377" s="680" t="s">
        <v>1022</v>
      </c>
      <c r="O377" s="325"/>
      <c r="P377" s="185"/>
      <c r="Q377" s="433"/>
      <c r="R377" s="682" t="s">
        <v>706</v>
      </c>
      <c r="S377" s="682" t="s">
        <v>2262</v>
      </c>
      <c r="AA377" s="1332"/>
    </row>
    <row r="378" spans="6:27" ht="10.5" customHeight="1">
      <c r="F378" s="371"/>
      <c r="G378" s="348"/>
      <c r="H378" s="348"/>
      <c r="I378" s="348"/>
      <c r="J378" s="348"/>
      <c r="K378" s="348"/>
      <c r="L378" s="348"/>
      <c r="M378" s="348"/>
      <c r="N378" s="680" t="s">
        <v>594</v>
      </c>
      <c r="O378" s="325"/>
      <c r="P378" s="185"/>
      <c r="Q378" s="433"/>
      <c r="R378" s="581" t="s">
        <v>57</v>
      </c>
      <c r="S378" s="581" t="s">
        <v>114</v>
      </c>
      <c r="AA378" s="1333"/>
    </row>
    <row r="379" spans="6:27" ht="10.5" customHeight="1">
      <c r="F379" s="371"/>
      <c r="G379" s="348"/>
      <c r="H379" s="348"/>
      <c r="I379" s="348"/>
      <c r="J379" s="348"/>
      <c r="K379" s="348"/>
      <c r="L379" s="348"/>
      <c r="M379" s="348"/>
      <c r="N379" s="680" t="s">
        <v>385</v>
      </c>
      <c r="O379" s="325"/>
      <c r="P379" s="185"/>
      <c r="Q379" s="433"/>
      <c r="R379" s="581" t="s">
        <v>996</v>
      </c>
      <c r="S379" s="581" t="s">
        <v>2084</v>
      </c>
      <c r="AA379" s="1332"/>
    </row>
    <row r="380" spans="6:27" ht="10.5" customHeight="1">
      <c r="F380" s="371"/>
      <c r="G380" s="348"/>
      <c r="H380" s="348"/>
      <c r="I380" s="348"/>
      <c r="J380" s="348"/>
      <c r="K380" s="348"/>
      <c r="L380" s="348"/>
      <c r="M380" s="348"/>
      <c r="N380" s="680" t="s">
        <v>387</v>
      </c>
      <c r="O380" s="325"/>
      <c r="P380" s="185"/>
      <c r="Q380" s="433"/>
      <c r="R380" s="581" t="s">
        <v>693</v>
      </c>
      <c r="S380" s="581" t="s">
        <v>2484</v>
      </c>
      <c r="AA380" s="1332"/>
    </row>
    <row r="381" spans="6:27" ht="10.5" customHeight="1">
      <c r="F381" s="371"/>
      <c r="G381" s="348"/>
      <c r="H381" s="348"/>
      <c r="I381" s="348"/>
      <c r="J381" s="348"/>
      <c r="K381" s="348"/>
      <c r="L381" s="348"/>
      <c r="M381" s="348"/>
      <c r="N381" s="680" t="s">
        <v>389</v>
      </c>
      <c r="O381" s="325"/>
      <c r="P381" s="185"/>
      <c r="Q381" s="433"/>
      <c r="R381" s="581" t="s">
        <v>1036</v>
      </c>
      <c r="S381" s="581" t="s">
        <v>1256</v>
      </c>
      <c r="AA381" s="1332"/>
    </row>
    <row r="382" spans="6:27" ht="10.5" customHeight="1">
      <c r="F382" s="371"/>
      <c r="G382" s="348"/>
      <c r="H382" s="348"/>
      <c r="I382" s="348"/>
      <c r="J382" s="348"/>
      <c r="K382" s="348"/>
      <c r="L382" s="348"/>
      <c r="M382" s="348"/>
      <c r="N382" s="680" t="s">
        <v>620</v>
      </c>
      <c r="O382" s="325"/>
      <c r="P382" s="185"/>
      <c r="Q382" s="433"/>
      <c r="R382" s="581" t="s">
        <v>1038</v>
      </c>
      <c r="S382" s="581" t="s">
        <v>2619</v>
      </c>
      <c r="AA382" s="1332"/>
    </row>
    <row r="383" spans="6:27" ht="10.5" customHeight="1">
      <c r="F383" s="371"/>
      <c r="G383" s="348"/>
      <c r="H383" s="348"/>
      <c r="I383" s="348"/>
      <c r="J383" s="348"/>
      <c r="K383" s="348"/>
      <c r="L383" s="348"/>
      <c r="M383" s="348"/>
      <c r="N383" s="680" t="s">
        <v>1470</v>
      </c>
      <c r="O383" s="325"/>
      <c r="P383" s="185"/>
      <c r="Q383" s="433"/>
      <c r="R383" s="682" t="s">
        <v>1017</v>
      </c>
      <c r="S383" s="682" t="s">
        <v>443</v>
      </c>
      <c r="AA383" s="1332"/>
    </row>
    <row r="384" spans="6:27" ht="10.5" customHeight="1">
      <c r="F384" s="371"/>
      <c r="G384" s="348"/>
      <c r="H384" s="348"/>
      <c r="I384" s="348"/>
      <c r="J384" s="348"/>
      <c r="K384" s="348"/>
      <c r="L384" s="348"/>
      <c r="M384" s="348"/>
      <c r="N384" s="680" t="s">
        <v>1651</v>
      </c>
      <c r="O384" s="325"/>
      <c r="P384" s="185"/>
      <c r="Q384" s="433"/>
      <c r="R384" s="581" t="s">
        <v>1019</v>
      </c>
      <c r="S384" s="581" t="s">
        <v>123</v>
      </c>
      <c r="AA384" s="1333"/>
    </row>
    <row r="385" spans="6:27" ht="10.5" customHeight="1">
      <c r="F385" s="371"/>
      <c r="G385" s="348"/>
      <c r="H385" s="348"/>
      <c r="I385" s="348"/>
      <c r="J385" s="348"/>
      <c r="K385" s="348"/>
      <c r="L385" s="348"/>
      <c r="M385" s="348"/>
      <c r="N385" s="680" t="s">
        <v>1044</v>
      </c>
      <c r="O385" s="325"/>
      <c r="P385" s="185"/>
      <c r="Q385" s="433"/>
      <c r="R385" s="581" t="s">
        <v>1021</v>
      </c>
      <c r="S385" s="581" t="s">
        <v>697</v>
      </c>
      <c r="AA385" s="1332"/>
    </row>
    <row r="386" spans="6:27" ht="10.5" customHeight="1">
      <c r="F386" s="371"/>
      <c r="G386" s="348"/>
      <c r="H386" s="348"/>
      <c r="I386" s="348"/>
      <c r="J386" s="348"/>
      <c r="K386" s="348"/>
      <c r="L386" s="348"/>
      <c r="M386" s="348"/>
      <c r="N386" s="680" t="s">
        <v>1046</v>
      </c>
      <c r="O386" s="325"/>
      <c r="P386" s="185"/>
      <c r="Q386" s="433"/>
      <c r="R386" s="581" t="s">
        <v>1023</v>
      </c>
      <c r="S386" s="581" t="s">
        <v>1952</v>
      </c>
      <c r="AA386" s="1332"/>
    </row>
    <row r="387" spans="6:27" ht="10.5" customHeight="1">
      <c r="F387" s="371"/>
      <c r="G387" s="348"/>
      <c r="H387" s="348"/>
      <c r="I387" s="348"/>
      <c r="J387" s="348"/>
      <c r="K387" s="348"/>
      <c r="L387" s="348"/>
      <c r="M387" s="348"/>
      <c r="N387" s="680" t="s">
        <v>1048</v>
      </c>
      <c r="O387" s="325"/>
      <c r="P387" s="185"/>
      <c r="Q387" s="433"/>
      <c r="R387" s="581" t="s">
        <v>1084</v>
      </c>
      <c r="S387" s="581" t="s">
        <v>652</v>
      </c>
      <c r="AA387" s="1332"/>
    </row>
    <row r="388" spans="6:27" ht="10.5" customHeight="1">
      <c r="F388" s="371"/>
      <c r="G388" s="348"/>
      <c r="H388" s="348"/>
      <c r="I388" s="348"/>
      <c r="J388" s="348"/>
      <c r="K388" s="348"/>
      <c r="L388" s="348"/>
      <c r="M388" s="348"/>
      <c r="N388" s="680" t="s">
        <v>1740</v>
      </c>
      <c r="O388" s="325"/>
      <c r="P388" s="185"/>
      <c r="Q388" s="433"/>
      <c r="R388" s="581" t="s">
        <v>595</v>
      </c>
      <c r="S388" s="581" t="s">
        <v>2251</v>
      </c>
      <c r="AA388" s="1332"/>
    </row>
    <row r="389" spans="6:27" ht="10.5" customHeight="1">
      <c r="F389" s="371"/>
      <c r="G389" s="348"/>
      <c r="H389" s="348"/>
      <c r="I389" s="348"/>
      <c r="J389" s="348"/>
      <c r="K389" s="348"/>
      <c r="L389" s="348"/>
      <c r="M389" s="348"/>
      <c r="N389" s="680" t="s">
        <v>1741</v>
      </c>
      <c r="O389" s="325"/>
      <c r="P389" s="185"/>
      <c r="Q389" s="433"/>
      <c r="R389" s="581" t="s">
        <v>386</v>
      </c>
      <c r="S389" s="581" t="s">
        <v>2616</v>
      </c>
      <c r="AA389" s="1332"/>
    </row>
    <row r="390" spans="6:27" ht="10.5" customHeight="1">
      <c r="F390" s="371"/>
      <c r="G390" s="348"/>
      <c r="H390" s="348"/>
      <c r="I390" s="348"/>
      <c r="J390" s="348"/>
      <c r="K390" s="348"/>
      <c r="L390" s="348"/>
      <c r="M390" s="348"/>
      <c r="N390" s="680" t="s">
        <v>1742</v>
      </c>
      <c r="O390" s="325"/>
      <c r="P390" s="185"/>
      <c r="Q390" s="433"/>
      <c r="R390" s="581" t="s">
        <v>388</v>
      </c>
      <c r="S390" s="581" t="s">
        <v>1512</v>
      </c>
      <c r="AA390" s="1332"/>
    </row>
    <row r="391" spans="6:27" ht="10.5" customHeight="1">
      <c r="F391" s="371"/>
      <c r="G391" s="348"/>
      <c r="H391" s="348"/>
      <c r="I391" s="348"/>
      <c r="J391" s="348"/>
      <c r="K391" s="348"/>
      <c r="L391" s="348"/>
      <c r="M391" s="348"/>
      <c r="N391" s="680" t="s">
        <v>895</v>
      </c>
      <c r="O391" s="325"/>
      <c r="P391" s="185"/>
      <c r="Q391" s="433"/>
      <c r="R391" s="581" t="s">
        <v>1085</v>
      </c>
      <c r="S391" s="581" t="s">
        <v>1985</v>
      </c>
      <c r="AA391" s="1332"/>
    </row>
    <row r="392" spans="6:27" ht="10.5" customHeight="1">
      <c r="F392" s="371"/>
      <c r="G392" s="348"/>
      <c r="H392" s="348"/>
      <c r="I392" s="348"/>
      <c r="J392" s="348"/>
      <c r="K392" s="348"/>
      <c r="L392" s="348"/>
      <c r="M392" s="348"/>
      <c r="N392" s="680" t="s">
        <v>897</v>
      </c>
      <c r="O392" s="325"/>
      <c r="P392" s="185"/>
      <c r="Q392" s="433"/>
      <c r="R392" s="581" t="s">
        <v>390</v>
      </c>
      <c r="S392" s="581" t="s">
        <v>910</v>
      </c>
      <c r="AA392" s="1332"/>
    </row>
    <row r="393" spans="6:27" ht="10.5" customHeight="1">
      <c r="F393" s="371"/>
      <c r="G393" s="348"/>
      <c r="H393" s="348"/>
      <c r="I393" s="348"/>
      <c r="J393" s="348"/>
      <c r="K393" s="348"/>
      <c r="L393" s="348"/>
      <c r="M393" s="348"/>
      <c r="N393" s="680" t="s">
        <v>899</v>
      </c>
      <c r="O393" s="325"/>
      <c r="P393" s="185"/>
      <c r="Q393" s="433"/>
      <c r="R393" s="581" t="s">
        <v>1471</v>
      </c>
      <c r="S393" s="581" t="s">
        <v>2324</v>
      </c>
      <c r="AA393" s="1332"/>
    </row>
    <row r="394" spans="6:27" ht="10.5" customHeight="1">
      <c r="F394" s="371"/>
      <c r="G394" s="348"/>
      <c r="H394" s="348"/>
      <c r="I394" s="348"/>
      <c r="J394" s="348"/>
      <c r="K394" s="348"/>
      <c r="L394" s="348"/>
      <c r="M394" s="348"/>
      <c r="N394" s="680" t="s">
        <v>446</v>
      </c>
      <c r="O394" s="325"/>
      <c r="P394" s="185"/>
      <c r="Q394" s="433"/>
      <c r="R394" s="581" t="s">
        <v>1652</v>
      </c>
      <c r="S394" s="581" t="s">
        <v>180</v>
      </c>
      <c r="AA394" s="1332"/>
    </row>
    <row r="395" spans="6:27" ht="10.5" customHeight="1">
      <c r="F395" s="371"/>
      <c r="G395" s="348"/>
      <c r="H395" s="348"/>
      <c r="I395" s="348"/>
      <c r="J395" s="348"/>
      <c r="K395" s="348"/>
      <c r="L395" s="348"/>
      <c r="M395" s="348"/>
      <c r="N395" s="680" t="s">
        <v>1788</v>
      </c>
      <c r="O395" s="325"/>
      <c r="P395" s="185"/>
      <c r="Q395" s="433"/>
      <c r="R395" s="581" t="s">
        <v>1045</v>
      </c>
      <c r="S395" s="581" t="s">
        <v>328</v>
      </c>
      <c r="AA395" s="1332"/>
    </row>
    <row r="396" spans="6:27" ht="10.5" customHeight="1">
      <c r="F396" s="371"/>
      <c r="G396" s="348"/>
      <c r="H396" s="348"/>
      <c r="I396" s="348"/>
      <c r="J396" s="348"/>
      <c r="K396" s="348"/>
      <c r="L396" s="348"/>
      <c r="M396" s="348"/>
      <c r="N396" s="680" t="s">
        <v>2367</v>
      </c>
      <c r="O396" s="325"/>
      <c r="P396" s="185"/>
      <c r="Q396" s="433"/>
      <c r="R396" s="682" t="s">
        <v>1047</v>
      </c>
      <c r="S396" s="682" t="s">
        <v>332</v>
      </c>
      <c r="AA396" s="1332"/>
    </row>
    <row r="397" spans="6:27" ht="10.5" customHeight="1">
      <c r="F397" s="371"/>
      <c r="G397" s="348"/>
      <c r="H397" s="348"/>
      <c r="I397" s="348"/>
      <c r="J397" s="348"/>
      <c r="K397" s="348"/>
      <c r="L397" s="348"/>
      <c r="M397" s="348"/>
      <c r="N397" s="680" t="s">
        <v>2079</v>
      </c>
      <c r="O397" s="325"/>
      <c r="P397" s="185"/>
      <c r="Q397" s="433"/>
      <c r="R397" s="581" t="s">
        <v>1086</v>
      </c>
      <c r="S397" s="581" t="s">
        <v>2081</v>
      </c>
      <c r="AA397" s="1333"/>
    </row>
    <row r="398" spans="6:27" ht="10.5" customHeight="1">
      <c r="F398" s="371"/>
      <c r="G398" s="348"/>
      <c r="H398" s="348"/>
      <c r="I398" s="348"/>
      <c r="J398" s="348"/>
      <c r="K398" s="348"/>
      <c r="L398" s="348"/>
      <c r="M398" s="348"/>
      <c r="N398" s="680" t="s">
        <v>1069</v>
      </c>
      <c r="O398" s="325"/>
      <c r="P398" s="185"/>
      <c r="Q398" s="433"/>
      <c r="R398" s="581" t="s">
        <v>1049</v>
      </c>
      <c r="S398" s="581" t="s">
        <v>1252</v>
      </c>
      <c r="AA398" s="1332"/>
    </row>
    <row r="399" spans="6:27" ht="10.5" customHeight="1">
      <c r="F399" s="371"/>
      <c r="G399" s="348"/>
      <c r="H399" s="348"/>
      <c r="I399" s="348"/>
      <c r="J399" s="348"/>
      <c r="K399" s="348"/>
      <c r="L399" s="348"/>
      <c r="M399" s="348"/>
      <c r="N399" s="680" t="s">
        <v>425</v>
      </c>
      <c r="O399" s="325"/>
      <c r="P399" s="185"/>
      <c r="Q399" s="433"/>
      <c r="R399" s="581" t="s">
        <v>327</v>
      </c>
      <c r="S399" s="581" t="s">
        <v>2619</v>
      </c>
      <c r="AA399" s="1332"/>
    </row>
    <row r="400" spans="6:27" ht="10.5" customHeight="1">
      <c r="F400" s="371"/>
      <c r="G400" s="348"/>
      <c r="H400" s="348"/>
      <c r="I400" s="348"/>
      <c r="J400" s="348"/>
      <c r="K400" s="348"/>
      <c r="L400" s="348"/>
      <c r="M400" s="348"/>
      <c r="N400" s="680" t="s">
        <v>427</v>
      </c>
      <c r="O400" s="325"/>
      <c r="P400" s="185"/>
      <c r="Q400" s="433"/>
      <c r="R400" s="581" t="s">
        <v>3000</v>
      </c>
      <c r="S400" s="581" t="s">
        <v>1849</v>
      </c>
      <c r="AA400" s="1332"/>
    </row>
    <row r="401" spans="6:27" ht="10.5" customHeight="1">
      <c r="F401" s="371"/>
      <c r="G401" s="348"/>
      <c r="H401" s="348"/>
      <c r="I401" s="348"/>
      <c r="J401" s="348"/>
      <c r="K401" s="348"/>
      <c r="L401" s="348"/>
      <c r="M401" s="348"/>
      <c r="N401" s="680" t="s">
        <v>428</v>
      </c>
      <c r="O401" s="325"/>
      <c r="P401" s="185"/>
      <c r="Q401" s="433"/>
      <c r="R401" s="581" t="s">
        <v>1743</v>
      </c>
      <c r="S401" s="581" t="s">
        <v>2616</v>
      </c>
      <c r="AA401" s="1332"/>
    </row>
    <row r="402" spans="6:27" ht="10.5" customHeight="1">
      <c r="F402" s="371"/>
      <c r="G402" s="348"/>
      <c r="H402" s="348"/>
      <c r="I402" s="348"/>
      <c r="J402" s="348"/>
      <c r="K402" s="348"/>
      <c r="L402" s="348"/>
      <c r="M402" s="348"/>
      <c r="N402" s="680" t="s">
        <v>2017</v>
      </c>
      <c r="O402" s="325"/>
      <c r="P402" s="185"/>
      <c r="Q402" s="433"/>
      <c r="R402" s="581" t="s">
        <v>896</v>
      </c>
      <c r="S402" s="581" t="s">
        <v>108</v>
      </c>
      <c r="AA402" s="1332"/>
    </row>
    <row r="403" spans="6:27" ht="10.5" customHeight="1">
      <c r="F403" s="371"/>
      <c r="G403" s="348"/>
      <c r="H403" s="348"/>
      <c r="I403" s="348"/>
      <c r="J403" s="348"/>
      <c r="K403" s="348"/>
      <c r="L403" s="348"/>
      <c r="M403" s="348"/>
      <c r="N403" s="680" t="s">
        <v>509</v>
      </c>
      <c r="O403" s="325"/>
      <c r="P403" s="185"/>
      <c r="Q403" s="433"/>
      <c r="R403" s="581" t="s">
        <v>898</v>
      </c>
      <c r="S403" s="581" t="s">
        <v>329</v>
      </c>
      <c r="AA403" s="1332"/>
    </row>
    <row r="404" spans="6:27" ht="10.5" customHeight="1">
      <c r="F404" s="371"/>
      <c r="G404" s="348"/>
      <c r="H404" s="348"/>
      <c r="I404" s="348"/>
      <c r="J404" s="348"/>
      <c r="K404" s="348"/>
      <c r="L404" s="348"/>
      <c r="M404" s="348"/>
      <c r="N404" s="680" t="s">
        <v>2239</v>
      </c>
      <c r="O404" s="325"/>
      <c r="P404" s="185"/>
      <c r="Q404" s="433"/>
      <c r="R404" s="581" t="s">
        <v>1806</v>
      </c>
      <c r="S404" s="581" t="s">
        <v>1137</v>
      </c>
      <c r="AA404" s="1332"/>
    </row>
    <row r="405" spans="6:27" ht="10.5" customHeight="1">
      <c r="F405" s="371"/>
      <c r="G405" s="348"/>
      <c r="H405" s="348"/>
      <c r="I405" s="348"/>
      <c r="J405" s="348"/>
      <c r="K405" s="348"/>
      <c r="L405" s="348"/>
      <c r="M405" s="348"/>
      <c r="N405" s="680" t="s">
        <v>1704</v>
      </c>
      <c r="O405" s="325"/>
      <c r="P405" s="185"/>
      <c r="Q405" s="433"/>
      <c r="R405" s="581" t="s">
        <v>655</v>
      </c>
      <c r="S405" s="581" t="s">
        <v>339</v>
      </c>
      <c r="AA405" s="1332"/>
    </row>
    <row r="406" spans="6:27" ht="10.5" customHeight="1">
      <c r="F406" s="371"/>
      <c r="G406" s="348"/>
      <c r="H406" s="348"/>
      <c r="I406" s="348"/>
      <c r="J406" s="348"/>
      <c r="K406" s="348"/>
      <c r="L406" s="348"/>
      <c r="M406" s="348"/>
      <c r="N406" s="680" t="s">
        <v>1706</v>
      </c>
      <c r="O406" s="325"/>
      <c r="P406" s="185"/>
      <c r="Q406" s="433"/>
      <c r="R406" s="581" t="s">
        <v>1789</v>
      </c>
      <c r="S406" s="581" t="s">
        <v>116</v>
      </c>
      <c r="AA406" s="1332"/>
    </row>
    <row r="407" spans="6:27" ht="10.5" customHeight="1">
      <c r="F407" s="371"/>
      <c r="G407" s="348"/>
      <c r="H407" s="348"/>
      <c r="I407" s="348"/>
      <c r="J407" s="348"/>
      <c r="K407" s="348"/>
      <c r="L407" s="348"/>
      <c r="M407" s="348"/>
      <c r="N407" s="680" t="s">
        <v>319</v>
      </c>
      <c r="O407" s="325"/>
      <c r="P407" s="185"/>
      <c r="Q407" s="433"/>
      <c r="R407" s="581" t="s">
        <v>2368</v>
      </c>
      <c r="S407" s="581" t="s">
        <v>904</v>
      </c>
      <c r="AA407" s="1332"/>
    </row>
    <row r="408" spans="6:27" ht="10.5" customHeight="1">
      <c r="F408" s="371"/>
      <c r="G408" s="348"/>
      <c r="H408" s="348"/>
      <c r="I408" s="348"/>
      <c r="J408" s="348"/>
      <c r="K408" s="348"/>
      <c r="L408" s="348"/>
      <c r="M408" s="348"/>
      <c r="N408" s="680" t="s">
        <v>321</v>
      </c>
      <c r="O408" s="325"/>
      <c r="P408" s="185"/>
      <c r="Q408" s="433"/>
      <c r="R408" s="581" t="s">
        <v>3001</v>
      </c>
      <c r="S408" s="581" t="s">
        <v>164</v>
      </c>
      <c r="AA408" s="1332"/>
    </row>
    <row r="409" spans="6:27" ht="10.5" customHeight="1">
      <c r="F409" s="371"/>
      <c r="G409" s="348"/>
      <c r="H409" s="348"/>
      <c r="I409" s="348"/>
      <c r="J409" s="348"/>
      <c r="K409" s="348"/>
      <c r="L409" s="348"/>
      <c r="M409" s="348"/>
      <c r="N409" s="680" t="s">
        <v>975</v>
      </c>
      <c r="O409" s="325"/>
      <c r="P409" s="185"/>
      <c r="Q409" s="433"/>
      <c r="R409" s="581" t="s">
        <v>2080</v>
      </c>
      <c r="S409" s="581" t="s">
        <v>1147</v>
      </c>
      <c r="AA409" s="1332"/>
    </row>
    <row r="410" spans="6:27" ht="10.5" customHeight="1">
      <c r="F410" s="371"/>
      <c r="G410" s="348"/>
      <c r="H410" s="348"/>
      <c r="I410" s="348"/>
      <c r="J410" s="348"/>
      <c r="K410" s="348"/>
      <c r="L410" s="348"/>
      <c r="M410" s="348"/>
      <c r="N410" s="680" t="s">
        <v>2401</v>
      </c>
      <c r="O410" s="325"/>
      <c r="P410" s="185"/>
      <c r="Q410" s="433"/>
      <c r="R410" s="682" t="s">
        <v>3002</v>
      </c>
      <c r="S410" s="682" t="s">
        <v>332</v>
      </c>
      <c r="AA410" s="1332"/>
    </row>
    <row r="411" spans="6:27" ht="10.5" customHeight="1">
      <c r="F411" s="371"/>
      <c r="G411" s="348"/>
      <c r="H411" s="348"/>
      <c r="I411" s="348"/>
      <c r="J411" s="348"/>
      <c r="K411" s="348"/>
      <c r="L411" s="348"/>
      <c r="M411" s="348"/>
      <c r="N411" s="680" t="s">
        <v>2402</v>
      </c>
      <c r="O411" s="325"/>
      <c r="P411" s="185"/>
      <c r="Q411" s="433"/>
      <c r="R411" s="581" t="s">
        <v>1070</v>
      </c>
      <c r="S411" s="581" t="s">
        <v>1985</v>
      </c>
      <c r="AA411" s="1333"/>
    </row>
    <row r="412" spans="6:27" ht="10.5" customHeight="1">
      <c r="F412" s="371"/>
      <c r="G412" s="348"/>
      <c r="H412" s="348"/>
      <c r="I412" s="348"/>
      <c r="J412" s="348"/>
      <c r="K412" s="348"/>
      <c r="L412" s="348"/>
      <c r="M412" s="348"/>
      <c r="N412" s="680" t="s">
        <v>2383</v>
      </c>
      <c r="O412" s="325"/>
      <c r="P412" s="185"/>
      <c r="Q412" s="433"/>
      <c r="R412" s="682" t="s">
        <v>426</v>
      </c>
      <c r="S412" s="682" t="s">
        <v>189</v>
      </c>
      <c r="AA412" s="1332"/>
    </row>
    <row r="413" spans="6:27" ht="10.5" customHeight="1">
      <c r="F413" s="371"/>
      <c r="G413" s="348"/>
      <c r="H413" s="348"/>
      <c r="I413" s="348"/>
      <c r="J413" s="348"/>
      <c r="K413" s="348"/>
      <c r="L413" s="348"/>
      <c r="M413" s="348"/>
      <c r="N413" s="680" t="s">
        <v>2384</v>
      </c>
      <c r="O413" s="325"/>
      <c r="P413" s="185"/>
      <c r="Q413" s="433"/>
      <c r="R413" s="581" t="s">
        <v>1087</v>
      </c>
      <c r="S413" s="581" t="s">
        <v>1134</v>
      </c>
      <c r="AA413" s="1333"/>
    </row>
    <row r="414" spans="6:27" ht="10.5" customHeight="1">
      <c r="F414" s="371"/>
      <c r="G414" s="348"/>
      <c r="H414" s="348"/>
      <c r="I414" s="348"/>
      <c r="J414" s="348"/>
      <c r="K414" s="348"/>
      <c r="L414" s="348"/>
      <c r="M414" s="348"/>
      <c r="N414" s="680" t="s">
        <v>2386</v>
      </c>
      <c r="O414" s="325"/>
      <c r="P414" s="185"/>
      <c r="Q414" s="433"/>
      <c r="R414" s="682" t="s">
        <v>429</v>
      </c>
      <c r="S414" s="682" t="s">
        <v>2247</v>
      </c>
      <c r="AA414" s="1332"/>
    </row>
    <row r="415" spans="6:27" ht="10.5" customHeight="1">
      <c r="F415" s="371"/>
      <c r="G415" s="348"/>
      <c r="H415" s="348"/>
      <c r="I415" s="348"/>
      <c r="J415" s="348"/>
      <c r="K415" s="348"/>
      <c r="L415" s="348"/>
      <c r="M415" s="348"/>
      <c r="N415" s="680" t="s">
        <v>528</v>
      </c>
      <c r="O415" s="325"/>
      <c r="P415" s="185"/>
      <c r="Q415" s="433"/>
      <c r="R415" s="581" t="s">
        <v>2018</v>
      </c>
      <c r="S415" s="581" t="s">
        <v>1512</v>
      </c>
      <c r="AA415" s="1333"/>
    </row>
    <row r="416" spans="6:27" ht="10.5" customHeight="1">
      <c r="F416" s="371"/>
      <c r="G416" s="348"/>
      <c r="H416" s="348"/>
      <c r="I416" s="348"/>
      <c r="J416" s="348"/>
      <c r="K416" s="348"/>
      <c r="L416" s="348"/>
      <c r="M416" s="348"/>
      <c r="N416" s="680" t="s">
        <v>191</v>
      </c>
      <c r="O416" s="325"/>
      <c r="P416" s="185"/>
      <c r="Q416" s="433"/>
      <c r="R416" s="581" t="s">
        <v>510</v>
      </c>
      <c r="S416" s="581" t="s">
        <v>2680</v>
      </c>
      <c r="AA416" s="1332"/>
    </row>
    <row r="417" spans="6:27" ht="10.5" customHeight="1">
      <c r="F417" s="371"/>
      <c r="G417" s="348"/>
      <c r="H417" s="348"/>
      <c r="I417" s="348"/>
      <c r="J417" s="348"/>
      <c r="K417" s="348"/>
      <c r="L417" s="348"/>
      <c r="M417" s="348"/>
      <c r="N417" s="680" t="s">
        <v>2192</v>
      </c>
      <c r="O417" s="325"/>
      <c r="P417" s="185"/>
      <c r="Q417" s="433"/>
      <c r="R417" s="581" t="s">
        <v>2240</v>
      </c>
      <c r="S417" s="581" t="s">
        <v>1372</v>
      </c>
      <c r="AA417" s="1332"/>
    </row>
    <row r="418" spans="6:27" ht="10.5" customHeight="1">
      <c r="F418" s="371"/>
      <c r="G418" s="348"/>
      <c r="H418" s="348"/>
      <c r="I418" s="348"/>
      <c r="J418" s="348"/>
      <c r="K418" s="348"/>
      <c r="L418" s="348"/>
      <c r="M418" s="348"/>
      <c r="N418" s="680" t="s">
        <v>2050</v>
      </c>
      <c r="O418" s="325"/>
      <c r="P418" s="185"/>
      <c r="Q418" s="433"/>
      <c r="R418" s="581" t="s">
        <v>1705</v>
      </c>
      <c r="S418" s="581" t="s">
        <v>1989</v>
      </c>
      <c r="AA418" s="1332"/>
    </row>
    <row r="419" spans="6:27" ht="10.5" customHeight="1">
      <c r="F419" s="371"/>
      <c r="G419" s="348"/>
      <c r="H419" s="348"/>
      <c r="I419" s="348"/>
      <c r="J419" s="348"/>
      <c r="K419" s="348"/>
      <c r="L419" s="348"/>
      <c r="M419" s="348"/>
      <c r="N419" s="680" t="s">
        <v>2052</v>
      </c>
      <c r="O419" s="325"/>
      <c r="P419" s="185"/>
      <c r="Q419" s="433"/>
      <c r="R419" s="581" t="s">
        <v>1707</v>
      </c>
      <c r="S419" s="581" t="s">
        <v>169</v>
      </c>
      <c r="AA419" s="1332"/>
    </row>
    <row r="420" spans="6:27" ht="10.5" customHeight="1">
      <c r="F420" s="371"/>
      <c r="G420" s="348"/>
      <c r="H420" s="348"/>
      <c r="I420" s="348"/>
      <c r="J420" s="348"/>
      <c r="K420" s="348"/>
      <c r="L420" s="348"/>
      <c r="M420" s="348"/>
      <c r="N420" s="680" t="s">
        <v>1187</v>
      </c>
      <c r="O420" s="325"/>
      <c r="P420" s="185"/>
      <c r="Q420" s="433"/>
      <c r="R420" s="581" t="s">
        <v>320</v>
      </c>
      <c r="S420" s="581" t="s">
        <v>162</v>
      </c>
      <c r="AA420" s="1332"/>
    </row>
    <row r="421" spans="6:27" ht="10.5" customHeight="1">
      <c r="F421" s="371"/>
      <c r="G421" s="348"/>
      <c r="H421" s="348"/>
      <c r="I421" s="348"/>
      <c r="J421" s="348"/>
      <c r="K421" s="348"/>
      <c r="L421" s="348"/>
      <c r="M421" s="348"/>
      <c r="N421" s="680" t="s">
        <v>1189</v>
      </c>
      <c r="O421" s="325"/>
      <c r="P421" s="185"/>
      <c r="Q421" s="433"/>
      <c r="R421" s="581" t="s">
        <v>322</v>
      </c>
      <c r="S421" s="581" t="s">
        <v>1359</v>
      </c>
      <c r="AA421" s="1332"/>
    </row>
    <row r="422" spans="6:27" ht="10.5" customHeight="1">
      <c r="F422" s="371"/>
      <c r="G422" s="348"/>
      <c r="H422" s="348"/>
      <c r="I422" s="348"/>
      <c r="J422" s="348"/>
      <c r="K422" s="348"/>
      <c r="L422" s="348"/>
      <c r="M422" s="348"/>
      <c r="N422" s="680" t="s">
        <v>1151</v>
      </c>
      <c r="O422" s="325"/>
      <c r="P422" s="185"/>
      <c r="Q422" s="433"/>
      <c r="R422" s="581" t="s">
        <v>976</v>
      </c>
      <c r="S422" s="581" t="s">
        <v>2570</v>
      </c>
      <c r="AA422" s="1332"/>
    </row>
    <row r="423" spans="6:27" ht="10.5" customHeight="1">
      <c r="F423" s="371"/>
      <c r="G423" s="348"/>
      <c r="H423" s="348"/>
      <c r="I423" s="348"/>
      <c r="J423" s="348"/>
      <c r="K423" s="348"/>
      <c r="L423" s="348"/>
      <c r="M423" s="348"/>
      <c r="N423" s="680" t="s">
        <v>1152</v>
      </c>
      <c r="O423" s="325"/>
      <c r="P423" s="185"/>
      <c r="Q423" s="433"/>
      <c r="R423" s="581" t="s">
        <v>2403</v>
      </c>
      <c r="S423" s="581" t="s">
        <v>336</v>
      </c>
      <c r="AA423" s="1332"/>
    </row>
    <row r="424" spans="6:27" ht="10.5" customHeight="1">
      <c r="F424" s="371"/>
      <c r="G424" s="348"/>
      <c r="H424" s="348"/>
      <c r="I424" s="348"/>
      <c r="J424" s="348"/>
      <c r="K424" s="348"/>
      <c r="L424" s="348"/>
      <c r="M424" s="348"/>
      <c r="N424" s="680" t="s">
        <v>74</v>
      </c>
      <c r="O424" s="325"/>
      <c r="P424" s="185"/>
      <c r="Q424" s="433"/>
      <c r="R424" s="581" t="s">
        <v>3003</v>
      </c>
      <c r="S424" s="581" t="s">
        <v>2264</v>
      </c>
      <c r="AA424" s="1332"/>
    </row>
    <row r="425" spans="6:27" ht="10.5" customHeight="1">
      <c r="F425" s="371"/>
      <c r="G425" s="348"/>
      <c r="H425" s="348"/>
      <c r="I425" s="348"/>
      <c r="J425" s="348"/>
      <c r="K425" s="348"/>
      <c r="L425" s="348"/>
      <c r="M425" s="348"/>
      <c r="N425" s="680" t="s">
        <v>381</v>
      </c>
      <c r="O425" s="325"/>
      <c r="P425" s="185"/>
      <c r="Q425" s="433"/>
      <c r="R425" s="684" t="s">
        <v>2385</v>
      </c>
      <c r="S425" s="581" t="s">
        <v>184</v>
      </c>
      <c r="AA425" s="1332"/>
    </row>
    <row r="426" spans="6:27" ht="10.5" customHeight="1">
      <c r="F426" s="371"/>
      <c r="G426" s="348"/>
      <c r="H426" s="348"/>
      <c r="I426" s="348"/>
      <c r="J426" s="348"/>
      <c r="K426" s="348"/>
      <c r="L426" s="348"/>
      <c r="M426" s="348"/>
      <c r="N426" s="680" t="s">
        <v>2329</v>
      </c>
      <c r="O426" s="325"/>
      <c r="P426" s="185"/>
      <c r="Q426" s="433"/>
      <c r="R426" s="581" t="s">
        <v>2387</v>
      </c>
      <c r="S426" s="581" t="s">
        <v>1369</v>
      </c>
      <c r="AA426" s="1334"/>
    </row>
    <row r="427" spans="6:27" ht="10.5" customHeight="1">
      <c r="F427" s="371"/>
      <c r="G427" s="348"/>
      <c r="H427" s="348"/>
      <c r="I427" s="348"/>
      <c r="J427" s="348"/>
      <c r="K427" s="348"/>
      <c r="L427" s="348"/>
      <c r="M427" s="348"/>
      <c r="N427" s="680" t="s">
        <v>1886</v>
      </c>
      <c r="O427" s="325"/>
      <c r="P427" s="185"/>
      <c r="Q427" s="433"/>
      <c r="R427" s="581" t="s">
        <v>529</v>
      </c>
      <c r="S427" s="581" t="s">
        <v>184</v>
      </c>
      <c r="AA427" s="1332"/>
    </row>
    <row r="428" spans="6:27" ht="10.5" customHeight="1">
      <c r="F428" s="371"/>
      <c r="G428" s="348"/>
      <c r="H428" s="348"/>
      <c r="I428" s="348"/>
      <c r="J428" s="348"/>
      <c r="K428" s="348"/>
      <c r="L428" s="348"/>
      <c r="M428" s="348"/>
      <c r="N428" s="680" t="s">
        <v>1821</v>
      </c>
      <c r="O428" s="325"/>
      <c r="P428" s="185"/>
      <c r="Q428" s="433"/>
      <c r="R428" s="581" t="s">
        <v>1088</v>
      </c>
      <c r="S428" s="581" t="s">
        <v>1577</v>
      </c>
      <c r="AA428" s="1332"/>
    </row>
    <row r="429" spans="6:27" ht="10.5" customHeight="1">
      <c r="F429" s="371"/>
      <c r="G429" s="348"/>
      <c r="H429" s="348"/>
      <c r="I429" s="348"/>
      <c r="J429" s="348"/>
      <c r="K429" s="348"/>
      <c r="L429" s="348"/>
      <c r="M429" s="348"/>
      <c r="N429" s="680" t="s">
        <v>286</v>
      </c>
      <c r="O429" s="325"/>
      <c r="P429" s="185"/>
      <c r="Q429" s="433"/>
      <c r="R429" s="581" t="s">
        <v>192</v>
      </c>
      <c r="S429" s="581" t="s">
        <v>2249</v>
      </c>
      <c r="AA429" s="1332"/>
    </row>
    <row r="430" spans="6:27" ht="10.5" customHeight="1">
      <c r="F430" s="371"/>
      <c r="G430" s="348"/>
      <c r="H430" s="348"/>
      <c r="I430" s="348"/>
      <c r="J430" s="348"/>
      <c r="K430" s="348"/>
      <c r="L430" s="348"/>
      <c r="M430" s="348"/>
      <c r="N430" s="680" t="s">
        <v>2436</v>
      </c>
      <c r="O430" s="325"/>
      <c r="P430" s="185"/>
      <c r="Q430" s="433"/>
      <c r="R430" s="682" t="s">
        <v>1089</v>
      </c>
      <c r="S430" s="682" t="s">
        <v>2569</v>
      </c>
      <c r="AA430" s="1332"/>
    </row>
    <row r="431" spans="6:27" ht="10.5" customHeight="1">
      <c r="F431" s="371"/>
      <c r="G431" s="348"/>
      <c r="H431" s="348"/>
      <c r="I431" s="348"/>
      <c r="J431" s="348"/>
      <c r="K431" s="348"/>
      <c r="L431" s="348"/>
      <c r="M431" s="348"/>
      <c r="N431" s="680" t="s">
        <v>486</v>
      </c>
      <c r="O431" s="325"/>
      <c r="P431" s="185"/>
      <c r="Q431" s="433"/>
      <c r="R431" s="581" t="s">
        <v>2049</v>
      </c>
      <c r="S431" s="581" t="s">
        <v>2484</v>
      </c>
      <c r="AA431" s="1333"/>
    </row>
    <row r="432" spans="6:27" ht="10.5" customHeight="1">
      <c r="F432" s="371"/>
      <c r="G432" s="348"/>
      <c r="H432" s="348"/>
      <c r="I432" s="348"/>
      <c r="J432" s="348"/>
      <c r="K432" s="348"/>
      <c r="L432" s="348"/>
      <c r="M432" s="348"/>
      <c r="N432" s="680" t="s">
        <v>487</v>
      </c>
      <c r="O432" s="325"/>
      <c r="P432" s="185"/>
      <c r="Q432" s="433"/>
      <c r="R432" s="581" t="s">
        <v>1090</v>
      </c>
      <c r="S432" s="581" t="s">
        <v>164</v>
      </c>
      <c r="AA432" s="1332"/>
    </row>
    <row r="433" spans="6:27" ht="10.5" customHeight="1">
      <c r="F433" s="371"/>
      <c r="G433" s="348"/>
      <c r="H433" s="348"/>
      <c r="I433" s="348"/>
      <c r="J433" s="348"/>
      <c r="K433" s="348"/>
      <c r="L433" s="348"/>
      <c r="M433" s="348"/>
      <c r="N433" s="680" t="s">
        <v>489</v>
      </c>
      <c r="O433" s="325"/>
      <c r="P433" s="185"/>
      <c r="Q433" s="433"/>
      <c r="R433" s="581" t="s">
        <v>2051</v>
      </c>
      <c r="S433" s="581" t="s">
        <v>2484</v>
      </c>
      <c r="AA433" s="1332"/>
    </row>
    <row r="434" spans="6:27" ht="10.5" customHeight="1">
      <c r="F434" s="371"/>
      <c r="G434" s="348"/>
      <c r="H434" s="348"/>
      <c r="I434" s="348"/>
      <c r="J434" s="348"/>
      <c r="K434" s="348"/>
      <c r="L434" s="348"/>
      <c r="M434" s="348"/>
      <c r="N434" s="680" t="s">
        <v>491</v>
      </c>
      <c r="O434" s="325"/>
      <c r="P434" s="185"/>
      <c r="Q434" s="433"/>
      <c r="R434" s="581" t="s">
        <v>336</v>
      </c>
      <c r="S434" s="581" t="s">
        <v>1380</v>
      </c>
      <c r="AA434" s="1332"/>
    </row>
    <row r="435" spans="6:27" ht="10.5" customHeight="1">
      <c r="F435" s="371"/>
      <c r="G435" s="348"/>
      <c r="H435" s="348"/>
      <c r="I435" s="348"/>
      <c r="J435" s="348"/>
      <c r="K435" s="348"/>
      <c r="L435" s="348"/>
      <c r="M435" s="348"/>
      <c r="N435" s="680" t="s">
        <v>1287</v>
      </c>
      <c r="O435" s="325"/>
      <c r="P435" s="185"/>
      <c r="Q435" s="433"/>
      <c r="R435" s="581" t="s">
        <v>1188</v>
      </c>
      <c r="S435" s="581" t="s">
        <v>904</v>
      </c>
      <c r="AA435" s="1332"/>
    </row>
    <row r="436" spans="6:27" ht="10.5" customHeight="1">
      <c r="F436" s="371"/>
      <c r="G436" s="348"/>
      <c r="H436" s="348"/>
      <c r="I436" s="348"/>
      <c r="J436" s="348"/>
      <c r="K436" s="348"/>
      <c r="L436" s="348"/>
      <c r="M436" s="348"/>
      <c r="N436" s="680" t="s">
        <v>1289</v>
      </c>
      <c r="O436" s="325"/>
      <c r="P436" s="185"/>
      <c r="Q436" s="433"/>
      <c r="R436" s="581" t="s">
        <v>1150</v>
      </c>
      <c r="S436" s="581" t="s">
        <v>907</v>
      </c>
      <c r="AA436" s="1332"/>
    </row>
    <row r="437" spans="6:27" ht="10.5" customHeight="1">
      <c r="F437" s="371"/>
      <c r="G437" s="348"/>
      <c r="H437" s="348"/>
      <c r="I437" s="348"/>
      <c r="J437" s="348"/>
      <c r="K437" s="348"/>
      <c r="L437" s="348"/>
      <c r="M437" s="348"/>
      <c r="N437" s="680" t="s">
        <v>2069</v>
      </c>
      <c r="O437" s="325"/>
      <c r="P437" s="185"/>
      <c r="Q437" s="433"/>
      <c r="R437" s="581" t="s">
        <v>338</v>
      </c>
      <c r="S437" s="581" t="s">
        <v>1131</v>
      </c>
      <c r="AA437" s="1332"/>
    </row>
    <row r="438" spans="6:27" ht="10.5" customHeight="1">
      <c r="F438" s="371"/>
      <c r="G438" s="348"/>
      <c r="H438" s="348"/>
      <c r="I438" s="348"/>
      <c r="J438" s="348"/>
      <c r="K438" s="348"/>
      <c r="L438" s="348"/>
      <c r="M438" s="348"/>
      <c r="N438" s="680" t="s">
        <v>2070</v>
      </c>
      <c r="O438" s="325"/>
      <c r="P438" s="185"/>
      <c r="Q438" s="433"/>
      <c r="R438" s="581" t="s">
        <v>341</v>
      </c>
      <c r="S438" s="581" t="s">
        <v>336</v>
      </c>
      <c r="AA438" s="1332"/>
    </row>
    <row r="439" spans="6:27" ht="10.5" customHeight="1">
      <c r="F439" s="371"/>
      <c r="G439" s="348"/>
      <c r="H439" s="348"/>
      <c r="I439" s="348"/>
      <c r="J439" s="348"/>
      <c r="K439" s="348"/>
      <c r="L439" s="348"/>
      <c r="M439" s="348"/>
      <c r="N439" s="680" t="s">
        <v>77</v>
      </c>
      <c r="O439" s="325"/>
      <c r="P439" s="185"/>
      <c r="Q439" s="433"/>
      <c r="R439" s="682" t="s">
        <v>75</v>
      </c>
      <c r="S439" s="682" t="s">
        <v>1993</v>
      </c>
      <c r="AA439" s="1332"/>
    </row>
    <row r="440" spans="6:27" ht="10.5" customHeight="1">
      <c r="F440" s="371"/>
      <c r="G440" s="348"/>
      <c r="H440" s="348"/>
      <c r="I440" s="348"/>
      <c r="J440" s="348"/>
      <c r="K440" s="348"/>
      <c r="L440" s="348"/>
      <c r="M440" s="348"/>
      <c r="N440" s="680" t="s">
        <v>79</v>
      </c>
      <c r="O440" s="325"/>
      <c r="P440" s="185"/>
      <c r="Q440" s="433"/>
      <c r="R440" s="682" t="s">
        <v>2330</v>
      </c>
      <c r="S440" s="682" t="s">
        <v>1380</v>
      </c>
      <c r="AA440" s="1333"/>
    </row>
    <row r="441" spans="6:27" ht="10.5" customHeight="1">
      <c r="F441" s="371"/>
      <c r="G441" s="348"/>
      <c r="H441" s="348"/>
      <c r="I441" s="348"/>
      <c r="J441" s="348"/>
      <c r="K441" s="348"/>
      <c r="L441" s="348"/>
      <c r="M441" s="348"/>
      <c r="N441" s="680" t="s">
        <v>2497</v>
      </c>
      <c r="O441" s="325"/>
      <c r="P441" s="185"/>
      <c r="Q441" s="433"/>
      <c r="R441" s="581" t="s">
        <v>1820</v>
      </c>
      <c r="S441" s="581" t="s">
        <v>2084</v>
      </c>
      <c r="AA441" s="1333"/>
    </row>
    <row r="442" spans="6:27" ht="10.5" customHeight="1">
      <c r="F442" s="371"/>
      <c r="G442" s="348"/>
      <c r="H442" s="348"/>
      <c r="I442" s="348"/>
      <c r="J442" s="348"/>
      <c r="K442" s="348"/>
      <c r="L442" s="348"/>
      <c r="M442" s="348"/>
      <c r="N442" s="680" t="s">
        <v>2278</v>
      </c>
      <c r="O442" s="325"/>
      <c r="P442" s="185"/>
      <c r="Q442" s="433"/>
      <c r="R442" s="581" t="s">
        <v>1822</v>
      </c>
      <c r="S442" s="581" t="s">
        <v>110</v>
      </c>
      <c r="AA442" s="1332"/>
    </row>
    <row r="443" spans="6:27" ht="10.5" customHeight="1">
      <c r="F443" s="371"/>
      <c r="G443" s="348"/>
      <c r="H443" s="348"/>
      <c r="I443" s="348"/>
      <c r="J443" s="348"/>
      <c r="K443" s="348"/>
      <c r="L443" s="348"/>
      <c r="M443" s="348"/>
      <c r="N443" s="680" t="s">
        <v>2279</v>
      </c>
      <c r="O443" s="325"/>
      <c r="P443" s="185"/>
      <c r="Q443" s="433"/>
      <c r="R443" s="581" t="s">
        <v>718</v>
      </c>
      <c r="S443" s="581" t="s">
        <v>1252</v>
      </c>
      <c r="AA443" s="1332"/>
    </row>
    <row r="444" spans="6:27" ht="10.5" customHeight="1">
      <c r="F444" s="371"/>
      <c r="G444" s="348"/>
      <c r="H444" s="348"/>
      <c r="I444" s="348"/>
      <c r="J444" s="348"/>
      <c r="K444" s="348"/>
      <c r="L444" s="348"/>
      <c r="M444" s="348"/>
      <c r="N444" s="680" t="s">
        <v>1001</v>
      </c>
      <c r="O444" s="325"/>
      <c r="P444" s="185"/>
      <c r="Q444" s="433"/>
      <c r="R444" s="581" t="s">
        <v>2435</v>
      </c>
      <c r="S444" s="581" t="s">
        <v>2569</v>
      </c>
      <c r="AA444" s="1332"/>
    </row>
    <row r="445" spans="6:27" ht="10.5" customHeight="1">
      <c r="F445" s="371"/>
      <c r="G445" s="348"/>
      <c r="H445" s="348"/>
      <c r="I445" s="348"/>
      <c r="J445" s="348"/>
      <c r="K445" s="348"/>
      <c r="L445" s="348"/>
      <c r="M445" s="348"/>
      <c r="N445" s="680" t="s">
        <v>1003</v>
      </c>
      <c r="O445" s="325"/>
      <c r="P445" s="185"/>
      <c r="Q445" s="433"/>
      <c r="R445" s="581" t="s">
        <v>2437</v>
      </c>
      <c r="S445" s="581" t="s">
        <v>2258</v>
      </c>
      <c r="AA445" s="1332"/>
    </row>
    <row r="446" spans="6:27" ht="10.5" customHeight="1">
      <c r="F446" s="371"/>
      <c r="G446" s="348"/>
      <c r="H446" s="348"/>
      <c r="I446" s="348"/>
      <c r="J446" s="348"/>
      <c r="K446" s="348"/>
      <c r="L446" s="348"/>
      <c r="M446" s="348"/>
      <c r="N446" s="680" t="s">
        <v>1547</v>
      </c>
      <c r="O446" s="325"/>
      <c r="P446" s="185"/>
      <c r="Q446" s="433"/>
      <c r="R446" s="581" t="s">
        <v>488</v>
      </c>
      <c r="S446" s="581" t="s">
        <v>2572</v>
      </c>
      <c r="AA446" s="1332"/>
    </row>
    <row r="447" spans="6:27" ht="10.5" customHeight="1">
      <c r="F447" s="371"/>
      <c r="G447" s="348"/>
      <c r="H447" s="348"/>
      <c r="I447" s="348"/>
      <c r="J447" s="348"/>
      <c r="K447" s="348"/>
      <c r="L447" s="348"/>
      <c r="M447" s="348"/>
      <c r="N447" s="680" t="s">
        <v>1548</v>
      </c>
      <c r="O447" s="325"/>
      <c r="P447" s="185"/>
      <c r="Q447" s="433"/>
      <c r="R447" s="581" t="s">
        <v>490</v>
      </c>
      <c r="S447" s="581" t="s">
        <v>1378</v>
      </c>
      <c r="AA447" s="1332"/>
    </row>
    <row r="448" spans="6:27" ht="10.5" customHeight="1">
      <c r="F448" s="371"/>
      <c r="G448" s="348"/>
      <c r="H448" s="348"/>
      <c r="I448" s="348"/>
      <c r="J448" s="348"/>
      <c r="K448" s="348"/>
      <c r="L448" s="348"/>
      <c r="M448" s="348"/>
      <c r="N448" s="680" t="s">
        <v>1550</v>
      </c>
      <c r="O448" s="325"/>
      <c r="P448" s="185"/>
      <c r="Q448" s="433"/>
      <c r="R448" s="581" t="s">
        <v>1091</v>
      </c>
      <c r="S448" s="581" t="s">
        <v>1383</v>
      </c>
      <c r="AA448" s="1332"/>
    </row>
    <row r="449" spans="6:27" ht="10.5" customHeight="1">
      <c r="F449" s="371"/>
      <c r="G449" s="348"/>
      <c r="H449" s="348"/>
      <c r="I449" s="348"/>
      <c r="J449" s="348"/>
      <c r="K449" s="348"/>
      <c r="L449" s="348"/>
      <c r="M449" s="348"/>
      <c r="N449" s="680" t="s">
        <v>1552</v>
      </c>
      <c r="O449" s="325"/>
      <c r="P449" s="185"/>
      <c r="Q449" s="433"/>
      <c r="R449" s="581" t="s">
        <v>492</v>
      </c>
      <c r="S449" s="581" t="s">
        <v>1383</v>
      </c>
      <c r="AA449" s="1332"/>
    </row>
    <row r="450" spans="6:27" ht="10.5" customHeight="1">
      <c r="F450" s="371"/>
      <c r="G450" s="348"/>
      <c r="H450" s="348"/>
      <c r="I450" s="348"/>
      <c r="J450" s="348"/>
      <c r="K450" s="348"/>
      <c r="L450" s="348"/>
      <c r="M450" s="348"/>
      <c r="N450" s="680" t="s">
        <v>1554</v>
      </c>
      <c r="O450" s="325"/>
      <c r="P450" s="185"/>
      <c r="Q450" s="433"/>
      <c r="R450" s="682" t="s">
        <v>1288</v>
      </c>
      <c r="S450" s="682" t="s">
        <v>1363</v>
      </c>
      <c r="AA450" s="1332"/>
    </row>
    <row r="451" spans="6:27" ht="10.5" customHeight="1">
      <c r="F451" s="371"/>
      <c r="G451" s="348"/>
      <c r="H451" s="348"/>
      <c r="I451" s="348"/>
      <c r="J451" s="348"/>
      <c r="K451" s="348"/>
      <c r="L451" s="348"/>
      <c r="M451" s="348"/>
      <c r="N451" s="680" t="s">
        <v>2419</v>
      </c>
      <c r="O451" s="325"/>
      <c r="P451" s="185"/>
      <c r="Q451" s="433"/>
      <c r="R451" s="581" t="s">
        <v>1290</v>
      </c>
      <c r="S451" s="581" t="s">
        <v>345</v>
      </c>
      <c r="AA451" s="1333"/>
    </row>
    <row r="452" spans="6:27" ht="10.5" customHeight="1">
      <c r="F452" s="371"/>
      <c r="G452" s="348"/>
      <c r="H452" s="348"/>
      <c r="I452" s="348"/>
      <c r="J452" s="348"/>
      <c r="K452" s="348"/>
      <c r="L452" s="348"/>
      <c r="M452" s="348"/>
      <c r="N452" s="680" t="s">
        <v>2684</v>
      </c>
      <c r="O452" s="325"/>
      <c r="P452" s="185"/>
      <c r="Q452" s="433"/>
      <c r="R452" s="581" t="s">
        <v>3004</v>
      </c>
      <c r="S452" s="581" t="s">
        <v>2620</v>
      </c>
      <c r="AA452" s="1332"/>
    </row>
    <row r="453" spans="6:27" ht="10.5" customHeight="1">
      <c r="F453" s="371"/>
      <c r="G453" s="348"/>
      <c r="H453" s="348"/>
      <c r="I453" s="348"/>
      <c r="J453" s="348"/>
      <c r="K453" s="348"/>
      <c r="L453" s="348"/>
      <c r="M453" s="348"/>
      <c r="N453" s="680" t="s">
        <v>1328</v>
      </c>
      <c r="O453" s="325"/>
      <c r="P453" s="185"/>
      <c r="Q453" s="433"/>
      <c r="R453" s="581" t="s">
        <v>2071</v>
      </c>
      <c r="S453" s="581" t="s">
        <v>2083</v>
      </c>
      <c r="AA453" s="1332"/>
    </row>
    <row r="454" spans="6:27" ht="10.5" customHeight="1">
      <c r="F454" s="371"/>
      <c r="G454" s="348"/>
      <c r="H454" s="348"/>
      <c r="I454" s="348"/>
      <c r="J454" s="348"/>
      <c r="K454" s="348"/>
      <c r="L454" s="348"/>
      <c r="M454" s="348"/>
      <c r="N454" s="680" t="s">
        <v>1565</v>
      </c>
      <c r="O454" s="325"/>
      <c r="P454" s="185"/>
      <c r="Q454" s="433"/>
      <c r="R454" s="581" t="s">
        <v>78</v>
      </c>
      <c r="S454" s="581" t="s">
        <v>1989</v>
      </c>
      <c r="AA454" s="1332"/>
    </row>
    <row r="455" spans="6:27" ht="10.5" customHeight="1">
      <c r="F455" s="371"/>
      <c r="G455" s="348"/>
      <c r="H455" s="348"/>
      <c r="I455" s="348"/>
      <c r="J455" s="348"/>
      <c r="K455" s="348"/>
      <c r="L455" s="348"/>
      <c r="M455" s="348"/>
      <c r="N455" s="680" t="s">
        <v>851</v>
      </c>
      <c r="O455" s="325"/>
      <c r="P455" s="185"/>
      <c r="Q455" s="433"/>
      <c r="R455" s="581" t="s">
        <v>656</v>
      </c>
      <c r="S455" s="581" t="s">
        <v>2569</v>
      </c>
      <c r="AA455" s="1332"/>
    </row>
    <row r="456" spans="6:27" ht="10.5" customHeight="1">
      <c r="F456" s="371"/>
      <c r="G456" s="348"/>
      <c r="H456" s="348"/>
      <c r="I456" s="348"/>
      <c r="J456" s="348"/>
      <c r="K456" s="348"/>
      <c r="L456" s="348"/>
      <c r="M456" s="348"/>
      <c r="N456" s="680" t="s">
        <v>852</v>
      </c>
      <c r="O456" s="325"/>
      <c r="P456" s="185"/>
      <c r="Q456" s="433"/>
      <c r="R456" s="581" t="s">
        <v>80</v>
      </c>
      <c r="S456" s="581" t="s">
        <v>180</v>
      </c>
      <c r="AA456" s="1332"/>
    </row>
    <row r="457" spans="6:27" ht="10.5" customHeight="1">
      <c r="F457" s="371"/>
      <c r="G457" s="348"/>
      <c r="H457" s="348"/>
      <c r="I457" s="348"/>
      <c r="J457" s="348"/>
      <c r="K457" s="348"/>
      <c r="L457" s="348"/>
      <c r="M457" s="348"/>
      <c r="N457" s="680" t="s">
        <v>854</v>
      </c>
      <c r="O457" s="325"/>
      <c r="P457" s="185"/>
      <c r="Q457" s="433"/>
      <c r="R457" s="581" t="s">
        <v>2498</v>
      </c>
      <c r="S457" s="581" t="s">
        <v>1508</v>
      </c>
      <c r="AA457" s="1332"/>
    </row>
    <row r="458" spans="6:27" ht="10.5" customHeight="1">
      <c r="F458" s="371"/>
      <c r="G458" s="348"/>
      <c r="H458" s="348"/>
      <c r="I458" s="348"/>
      <c r="J458" s="348"/>
      <c r="K458" s="348"/>
      <c r="L458" s="348"/>
      <c r="M458" s="348"/>
      <c r="N458" s="680" t="s">
        <v>855</v>
      </c>
      <c r="O458" s="325"/>
      <c r="P458" s="185"/>
      <c r="Q458" s="433"/>
      <c r="R458" s="581" t="s">
        <v>1092</v>
      </c>
      <c r="S458" s="581" t="s">
        <v>1577</v>
      </c>
      <c r="AA458" s="1332"/>
    </row>
    <row r="459" spans="6:27" ht="10.5" customHeight="1">
      <c r="F459" s="371"/>
      <c r="G459" s="348"/>
      <c r="H459" s="348"/>
      <c r="I459" s="348"/>
      <c r="J459" s="348"/>
      <c r="K459" s="348"/>
      <c r="L459" s="348"/>
      <c r="M459" s="348"/>
      <c r="N459" s="680" t="s">
        <v>121</v>
      </c>
      <c r="O459" s="325"/>
      <c r="P459" s="185"/>
      <c r="Q459" s="433"/>
      <c r="R459" s="581" t="s">
        <v>1093</v>
      </c>
      <c r="S459" s="581" t="s">
        <v>1148</v>
      </c>
      <c r="AA459" s="1332"/>
    </row>
    <row r="460" spans="6:27" ht="10.5" customHeight="1">
      <c r="F460" s="371"/>
      <c r="G460" s="348"/>
      <c r="H460" s="348"/>
      <c r="I460" s="348"/>
      <c r="J460" s="348"/>
      <c r="K460" s="348"/>
      <c r="L460" s="348"/>
      <c r="M460" s="348"/>
      <c r="N460" s="680" t="s">
        <v>260</v>
      </c>
      <c r="O460" s="325"/>
      <c r="P460" s="185"/>
      <c r="Q460" s="433"/>
      <c r="R460" s="581" t="s">
        <v>637</v>
      </c>
      <c r="S460" s="581" t="s">
        <v>686</v>
      </c>
      <c r="AA460" s="1332"/>
    </row>
    <row r="461" spans="6:27" ht="10.5" customHeight="1">
      <c r="F461" s="371"/>
      <c r="G461" s="348"/>
      <c r="H461" s="348"/>
      <c r="I461" s="348"/>
      <c r="J461" s="348"/>
      <c r="K461" s="348"/>
      <c r="L461" s="348"/>
      <c r="M461" s="348"/>
      <c r="N461" s="680" t="s">
        <v>1562</v>
      </c>
      <c r="O461" s="325"/>
      <c r="P461" s="185"/>
      <c r="Q461" s="433"/>
      <c r="R461" s="581" t="s">
        <v>1002</v>
      </c>
      <c r="S461" s="581" t="s">
        <v>123</v>
      </c>
      <c r="AA461" s="1332"/>
    </row>
    <row r="462" spans="6:27" ht="10.5" customHeight="1">
      <c r="F462" s="371"/>
      <c r="G462" s="348"/>
      <c r="H462" s="348"/>
      <c r="I462" s="348"/>
      <c r="J462" s="348"/>
      <c r="K462" s="348"/>
      <c r="L462" s="348"/>
      <c r="M462" s="348"/>
      <c r="N462" s="680" t="s">
        <v>255</v>
      </c>
      <c r="O462" s="325"/>
      <c r="P462" s="185"/>
      <c r="Q462" s="433"/>
      <c r="R462" s="581" t="s">
        <v>1004</v>
      </c>
      <c r="S462" s="581" t="s">
        <v>1381</v>
      </c>
      <c r="AA462" s="1332"/>
    </row>
    <row r="463" spans="6:27" ht="10.5" customHeight="1">
      <c r="F463" s="371"/>
      <c r="G463" s="348"/>
      <c r="H463" s="348"/>
      <c r="I463" s="348"/>
      <c r="J463" s="348"/>
      <c r="K463" s="348"/>
      <c r="L463" s="348"/>
      <c r="M463" s="348"/>
      <c r="N463" s="680" t="s">
        <v>1567</v>
      </c>
      <c r="O463" s="325"/>
      <c r="P463" s="185"/>
      <c r="Q463" s="433"/>
      <c r="R463" s="581" t="s">
        <v>1549</v>
      </c>
      <c r="S463" s="581" t="s">
        <v>1511</v>
      </c>
      <c r="AA463" s="1332"/>
    </row>
    <row r="464" spans="6:27" ht="10.5" customHeight="1">
      <c r="F464" s="371"/>
      <c r="G464" s="348"/>
      <c r="H464" s="348"/>
      <c r="I464" s="348"/>
      <c r="J464" s="348"/>
      <c r="K464" s="348"/>
      <c r="L464" s="348"/>
      <c r="M464" s="348"/>
      <c r="N464" s="680" t="s">
        <v>1569</v>
      </c>
      <c r="O464" s="325"/>
      <c r="P464" s="185"/>
      <c r="Q464" s="433"/>
      <c r="R464" s="581" t="s">
        <v>1551</v>
      </c>
      <c r="S464" s="581" t="s">
        <v>2617</v>
      </c>
      <c r="AA464" s="1332"/>
    </row>
    <row r="465" spans="6:27" ht="10.5" customHeight="1">
      <c r="F465" s="371"/>
      <c r="G465" s="348"/>
      <c r="H465" s="348"/>
      <c r="I465" s="348"/>
      <c r="J465" s="348"/>
      <c r="K465" s="348"/>
      <c r="L465" s="348"/>
      <c r="M465" s="348"/>
      <c r="N465" s="680" t="s">
        <v>1444</v>
      </c>
      <c r="O465" s="325"/>
      <c r="P465" s="185"/>
      <c r="Q465" s="433"/>
      <c r="R465" s="581" t="s">
        <v>1553</v>
      </c>
      <c r="S465" s="581" t="s">
        <v>2256</v>
      </c>
      <c r="AA465" s="1332"/>
    </row>
    <row r="466" spans="6:27" ht="10.5" customHeight="1">
      <c r="F466" s="371"/>
      <c r="G466" s="348"/>
      <c r="H466" s="348"/>
      <c r="I466" s="348"/>
      <c r="J466" s="348"/>
      <c r="K466" s="348"/>
      <c r="L466" s="348"/>
      <c r="M466" s="348"/>
      <c r="N466" s="680" t="s">
        <v>1446</v>
      </c>
      <c r="O466" s="325"/>
      <c r="P466" s="185"/>
      <c r="Q466" s="433"/>
      <c r="R466" s="581" t="s">
        <v>2418</v>
      </c>
      <c r="S466" s="581" t="s">
        <v>2679</v>
      </c>
      <c r="AA466" s="1332"/>
    </row>
    <row r="467" spans="6:27" ht="10.5" customHeight="1">
      <c r="F467" s="371"/>
      <c r="G467" s="348"/>
      <c r="H467" s="348"/>
      <c r="I467" s="348"/>
      <c r="J467" s="348"/>
      <c r="K467" s="348"/>
      <c r="L467" s="348"/>
      <c r="M467" s="348"/>
      <c r="N467" s="680" t="s">
        <v>1448</v>
      </c>
      <c r="O467" s="325"/>
      <c r="P467" s="185"/>
      <c r="Q467" s="433"/>
      <c r="R467" s="581" t="s">
        <v>2420</v>
      </c>
      <c r="S467" s="581" t="s">
        <v>123</v>
      </c>
      <c r="AA467" s="1332"/>
    </row>
    <row r="468" spans="6:27" ht="10.5" customHeight="1">
      <c r="F468" s="371"/>
      <c r="G468" s="348"/>
      <c r="H468" s="348"/>
      <c r="I468" s="348"/>
      <c r="J468" s="348"/>
      <c r="K468" s="348"/>
      <c r="L468" s="348"/>
      <c r="M468" s="348"/>
      <c r="N468" s="680" t="s">
        <v>1449</v>
      </c>
      <c r="O468" s="325"/>
      <c r="P468" s="185"/>
      <c r="Q468" s="433"/>
      <c r="R468" s="682" t="s">
        <v>1327</v>
      </c>
      <c r="S468" s="682" t="s">
        <v>987</v>
      </c>
      <c r="AA468" s="1332"/>
    </row>
    <row r="469" spans="6:27" ht="10.5" customHeight="1">
      <c r="F469" s="371"/>
      <c r="G469" s="348"/>
      <c r="H469" s="348"/>
      <c r="I469" s="348"/>
      <c r="J469" s="348"/>
      <c r="K469" s="348"/>
      <c r="L469" s="348"/>
      <c r="M469" s="348"/>
      <c r="N469" s="680" t="s">
        <v>1451</v>
      </c>
      <c r="O469" s="325"/>
      <c r="P469" s="185"/>
      <c r="Q469" s="433"/>
      <c r="R469" s="581" t="s">
        <v>1094</v>
      </c>
      <c r="S469" s="581" t="s">
        <v>2081</v>
      </c>
      <c r="AA469" s="1333"/>
    </row>
    <row r="470" spans="6:27" ht="10.5" customHeight="1">
      <c r="F470" s="371"/>
      <c r="G470" s="348"/>
      <c r="H470" s="348"/>
      <c r="I470" s="348"/>
      <c r="J470" s="348"/>
      <c r="K470" s="348"/>
      <c r="L470" s="348"/>
      <c r="M470" s="348"/>
      <c r="N470" s="680" t="s">
        <v>1453</v>
      </c>
      <c r="O470" s="325"/>
      <c r="P470" s="185"/>
      <c r="Q470" s="433"/>
      <c r="R470" s="581" t="s">
        <v>1329</v>
      </c>
      <c r="S470" s="581" t="s">
        <v>1513</v>
      </c>
      <c r="AA470" s="1332"/>
    </row>
    <row r="471" spans="6:27" ht="10.5" customHeight="1">
      <c r="F471" s="371"/>
      <c r="G471" s="348"/>
      <c r="H471" s="348"/>
      <c r="I471" s="348"/>
      <c r="J471" s="348"/>
      <c r="K471" s="348"/>
      <c r="L471" s="348"/>
      <c r="M471" s="348"/>
      <c r="N471" s="680" t="s">
        <v>1626</v>
      </c>
      <c r="O471" s="325"/>
      <c r="P471" s="185"/>
      <c r="Q471" s="433"/>
      <c r="R471" s="581" t="s">
        <v>859</v>
      </c>
      <c r="S471" s="581" t="s">
        <v>2083</v>
      </c>
      <c r="AA471" s="1332"/>
    </row>
    <row r="472" spans="6:27" ht="10.5" customHeight="1">
      <c r="F472" s="371"/>
      <c r="G472" s="348"/>
      <c r="H472" s="348"/>
      <c r="I472" s="348"/>
      <c r="J472" s="348"/>
      <c r="K472" s="348"/>
      <c r="L472" s="348"/>
      <c r="M472" s="348"/>
      <c r="N472" s="680" t="s">
        <v>1627</v>
      </c>
      <c r="O472" s="325"/>
      <c r="P472" s="185"/>
      <c r="Q472" s="433"/>
      <c r="R472" s="581" t="s">
        <v>860</v>
      </c>
      <c r="S472" s="581" t="s">
        <v>906</v>
      </c>
      <c r="AA472" s="1332"/>
    </row>
    <row r="473" spans="6:27" ht="10.5" customHeight="1">
      <c r="F473" s="371"/>
      <c r="G473" s="348"/>
      <c r="H473" s="348"/>
      <c r="I473" s="348"/>
      <c r="J473" s="348"/>
      <c r="K473" s="348"/>
      <c r="L473" s="348"/>
      <c r="M473" s="348"/>
      <c r="N473" s="680" t="s">
        <v>1628</v>
      </c>
      <c r="O473" s="325"/>
      <c r="P473" s="185"/>
      <c r="Q473" s="433"/>
      <c r="R473" s="581" t="s">
        <v>853</v>
      </c>
      <c r="S473" s="581" t="s">
        <v>652</v>
      </c>
      <c r="AA473" s="1332"/>
    </row>
    <row r="474" spans="6:27" ht="10.5" customHeight="1">
      <c r="F474" s="371"/>
      <c r="G474" s="348"/>
      <c r="H474" s="348"/>
      <c r="I474" s="348"/>
      <c r="J474" s="348"/>
      <c r="K474" s="348"/>
      <c r="L474" s="348"/>
      <c r="M474" s="348"/>
      <c r="N474" s="680" t="s">
        <v>1629</v>
      </c>
      <c r="O474" s="325"/>
      <c r="P474" s="185"/>
      <c r="Q474" s="433"/>
      <c r="R474" s="581" t="s">
        <v>856</v>
      </c>
      <c r="S474" s="581" t="s">
        <v>332</v>
      </c>
      <c r="AA474" s="1332"/>
    </row>
    <row r="475" spans="6:27" ht="10.5" customHeight="1">
      <c r="F475" s="371"/>
      <c r="G475" s="348"/>
      <c r="H475" s="348"/>
      <c r="I475" s="348"/>
      <c r="J475" s="348"/>
      <c r="K475" s="348"/>
      <c r="L475" s="348"/>
      <c r="M475" s="348"/>
      <c r="N475" s="680" t="s">
        <v>1631</v>
      </c>
      <c r="O475" s="325"/>
      <c r="P475" s="185"/>
      <c r="Q475" s="433"/>
      <c r="R475" s="581" t="s">
        <v>122</v>
      </c>
      <c r="S475" s="581" t="s">
        <v>2084</v>
      </c>
      <c r="AA475" s="1332"/>
    </row>
    <row r="476" spans="6:27" ht="10.5" customHeight="1">
      <c r="F476" s="371"/>
      <c r="G476" s="348"/>
      <c r="H476" s="348"/>
      <c r="I476" s="348"/>
      <c r="J476" s="348"/>
      <c r="K476" s="348"/>
      <c r="L476" s="348"/>
      <c r="M476" s="348"/>
      <c r="N476" s="680" t="s">
        <v>1633</v>
      </c>
      <c r="O476" s="325"/>
      <c r="P476" s="185"/>
      <c r="Q476" s="433"/>
      <c r="R476" s="581" t="s">
        <v>261</v>
      </c>
      <c r="S476" s="581" t="s">
        <v>1952</v>
      </c>
      <c r="AA476" s="1332"/>
    </row>
    <row r="477" spans="6:27" ht="10.5" customHeight="1">
      <c r="F477" s="371"/>
      <c r="G477" s="348"/>
      <c r="H477" s="348"/>
      <c r="I477" s="348"/>
      <c r="J477" s="348"/>
      <c r="K477" s="348"/>
      <c r="L477" s="348"/>
      <c r="M477" s="348"/>
      <c r="N477" s="680" t="s">
        <v>1634</v>
      </c>
      <c r="O477" s="325"/>
      <c r="P477" s="185"/>
      <c r="Q477" s="433"/>
      <c r="R477" s="682" t="s">
        <v>1563</v>
      </c>
      <c r="S477" s="682" t="s">
        <v>2083</v>
      </c>
      <c r="AA477" s="1332"/>
    </row>
    <row r="478" spans="6:27" ht="10.5" customHeight="1">
      <c r="F478" s="371"/>
      <c r="G478" s="348"/>
      <c r="H478" s="348"/>
      <c r="I478" s="348"/>
      <c r="J478" s="348"/>
      <c r="K478" s="348"/>
      <c r="L478" s="348"/>
      <c r="M478" s="348"/>
      <c r="N478" s="680" t="s">
        <v>1636</v>
      </c>
      <c r="O478" s="325"/>
      <c r="P478" s="185"/>
      <c r="Q478" s="433"/>
      <c r="R478" s="581" t="s">
        <v>1566</v>
      </c>
      <c r="S478" s="581" t="s">
        <v>341</v>
      </c>
      <c r="AA478" s="1333"/>
    </row>
    <row r="479" spans="6:27" ht="10.5" customHeight="1">
      <c r="F479" s="371"/>
      <c r="G479" s="348"/>
      <c r="H479" s="348"/>
      <c r="I479" s="348"/>
      <c r="J479" s="348"/>
      <c r="K479" s="348"/>
      <c r="L479" s="348"/>
      <c r="M479" s="348"/>
      <c r="N479" s="680" t="s">
        <v>392</v>
      </c>
      <c r="O479" s="325"/>
      <c r="P479" s="185"/>
      <c r="Q479" s="433"/>
      <c r="R479" s="581" t="s">
        <v>1568</v>
      </c>
      <c r="S479" s="581" t="s">
        <v>2569</v>
      </c>
      <c r="AA479" s="1332"/>
    </row>
    <row r="480" spans="6:27" ht="10.5" customHeight="1">
      <c r="F480" s="371"/>
      <c r="G480" s="348"/>
      <c r="H480" s="348"/>
      <c r="I480" s="348"/>
      <c r="J480" s="348"/>
      <c r="K480" s="348"/>
      <c r="L480" s="348"/>
      <c r="M480" s="348"/>
      <c r="N480" s="680" t="s">
        <v>257</v>
      </c>
      <c r="O480" s="325"/>
      <c r="P480" s="185"/>
      <c r="Q480" s="433"/>
      <c r="R480" s="581" t="s">
        <v>500</v>
      </c>
      <c r="S480" s="581" t="s">
        <v>1515</v>
      </c>
      <c r="AA480" s="1332"/>
    </row>
    <row r="481" spans="6:27" ht="10.5" customHeight="1">
      <c r="F481" s="371"/>
      <c r="G481" s="348"/>
      <c r="H481" s="348"/>
      <c r="I481" s="348"/>
      <c r="J481" s="348"/>
      <c r="K481" s="348"/>
      <c r="L481" s="348"/>
      <c r="M481" s="348"/>
      <c r="N481" s="680" t="s">
        <v>259</v>
      </c>
      <c r="O481" s="325"/>
      <c r="P481" s="185"/>
      <c r="Q481" s="433"/>
      <c r="R481" s="581" t="s">
        <v>1445</v>
      </c>
      <c r="S481" s="581" t="s">
        <v>324</v>
      </c>
      <c r="AA481" s="1332"/>
    </row>
    <row r="482" spans="6:27" ht="10.5" customHeight="1">
      <c r="F482" s="371"/>
      <c r="G482" s="348"/>
      <c r="H482" s="348"/>
      <c r="I482" s="348"/>
      <c r="J482" s="348"/>
      <c r="K482" s="348"/>
      <c r="L482" s="348"/>
      <c r="M482" s="348"/>
      <c r="N482" s="680" t="s">
        <v>15</v>
      </c>
      <c r="O482" s="325"/>
      <c r="P482" s="185"/>
      <c r="Q482" s="433"/>
      <c r="R482" s="581" t="s">
        <v>1447</v>
      </c>
      <c r="S482" s="581" t="s">
        <v>904</v>
      </c>
      <c r="AA482" s="1332"/>
    </row>
    <row r="483" spans="6:27" ht="10.5" customHeight="1">
      <c r="F483" s="371"/>
      <c r="G483" s="348"/>
      <c r="H483" s="348"/>
      <c r="I483" s="348"/>
      <c r="J483" s="348"/>
      <c r="K483" s="348"/>
      <c r="L483" s="348"/>
      <c r="M483" s="348"/>
      <c r="N483" s="680" t="s">
        <v>1123</v>
      </c>
      <c r="O483" s="325"/>
      <c r="P483" s="185"/>
      <c r="Q483" s="433"/>
      <c r="R483" s="581" t="s">
        <v>181</v>
      </c>
      <c r="S483" s="581" t="s">
        <v>2254</v>
      </c>
      <c r="AA483" s="1332"/>
    </row>
    <row r="484" spans="6:27" ht="10.5" customHeight="1">
      <c r="F484" s="371"/>
      <c r="G484" s="348"/>
      <c r="H484" s="348"/>
      <c r="I484" s="348"/>
      <c r="J484" s="348"/>
      <c r="K484" s="348"/>
      <c r="L484" s="348"/>
      <c r="M484" s="348"/>
      <c r="N484" s="680" t="s">
        <v>1125</v>
      </c>
      <c r="O484" s="325"/>
      <c r="P484" s="185"/>
      <c r="Q484" s="433"/>
      <c r="R484" s="581" t="s">
        <v>1450</v>
      </c>
      <c r="S484" s="581" t="s">
        <v>1952</v>
      </c>
      <c r="AA484" s="1332"/>
    </row>
    <row r="485" spans="6:27" ht="10.5" customHeight="1">
      <c r="F485" s="371"/>
      <c r="G485" s="348"/>
      <c r="H485" s="348"/>
      <c r="I485" s="348"/>
      <c r="J485" s="348"/>
      <c r="K485" s="348"/>
      <c r="L485" s="348"/>
      <c r="M485" s="348"/>
      <c r="N485" s="680" t="s">
        <v>1127</v>
      </c>
      <c r="O485" s="325"/>
      <c r="P485" s="185"/>
      <c r="Q485" s="433"/>
      <c r="R485" s="581" t="s">
        <v>1452</v>
      </c>
      <c r="S485" s="581" t="s">
        <v>167</v>
      </c>
      <c r="AA485" s="1332"/>
    </row>
    <row r="486" spans="6:27" ht="10.5" customHeight="1">
      <c r="F486" s="371"/>
      <c r="G486" s="348"/>
      <c r="H486" s="348"/>
      <c r="I486" s="348"/>
      <c r="J486" s="348"/>
      <c r="K486" s="348"/>
      <c r="L486" s="348"/>
      <c r="M486" s="348"/>
      <c r="N486" s="680" t="s">
        <v>269</v>
      </c>
      <c r="O486" s="325"/>
      <c r="P486" s="185"/>
      <c r="Q486" s="433"/>
      <c r="R486" s="581" t="s">
        <v>2578</v>
      </c>
      <c r="S486" s="581" t="s">
        <v>1983</v>
      </c>
      <c r="AA486" s="1332"/>
    </row>
    <row r="487" spans="6:27" ht="10.5" customHeight="1">
      <c r="F487" s="371"/>
      <c r="G487" s="348"/>
      <c r="H487" s="348"/>
      <c r="I487" s="348"/>
      <c r="J487" s="348"/>
      <c r="K487" s="348"/>
      <c r="L487" s="348"/>
      <c r="M487" s="348"/>
      <c r="N487" s="680" t="s">
        <v>271</v>
      </c>
      <c r="O487" s="325"/>
      <c r="P487" s="185"/>
      <c r="Q487" s="433"/>
      <c r="R487" s="581" t="s">
        <v>1095</v>
      </c>
      <c r="S487" s="581" t="s">
        <v>2572</v>
      </c>
      <c r="AA487" s="1332"/>
    </row>
    <row r="488" spans="6:27" ht="10.5" customHeight="1">
      <c r="F488" s="371"/>
      <c r="G488" s="348"/>
      <c r="H488" s="348"/>
      <c r="I488" s="348"/>
      <c r="J488" s="348"/>
      <c r="K488" s="348"/>
      <c r="L488" s="348"/>
      <c r="M488" s="348"/>
      <c r="N488" s="680" t="s">
        <v>1686</v>
      </c>
      <c r="O488" s="325"/>
      <c r="P488" s="185"/>
      <c r="Q488" s="433"/>
      <c r="R488" s="581" t="s">
        <v>1369</v>
      </c>
      <c r="S488" s="581" t="s">
        <v>1368</v>
      </c>
      <c r="AA488" s="1332"/>
    </row>
    <row r="489" spans="6:27" ht="10.5" customHeight="1">
      <c r="F489" s="371"/>
      <c r="G489" s="348"/>
      <c r="H489" s="348"/>
      <c r="I489" s="348"/>
      <c r="J489" s="348"/>
      <c r="K489" s="348"/>
      <c r="L489" s="348"/>
      <c r="M489" s="348"/>
      <c r="N489" s="680" t="s">
        <v>2404</v>
      </c>
      <c r="O489" s="325"/>
      <c r="P489" s="185"/>
      <c r="Q489" s="433"/>
      <c r="R489" s="581" t="s">
        <v>184</v>
      </c>
      <c r="S489" s="581" t="s">
        <v>2672</v>
      </c>
      <c r="AA489" s="1332"/>
    </row>
    <row r="490" spans="6:27" ht="10.5" customHeight="1">
      <c r="F490" s="371"/>
      <c r="G490" s="348"/>
      <c r="H490" s="348"/>
      <c r="I490" s="348"/>
      <c r="J490" s="348"/>
      <c r="K490" s="348"/>
      <c r="L490" s="348"/>
      <c r="M490" s="348"/>
      <c r="N490" s="680" t="s">
        <v>498</v>
      </c>
      <c r="O490" s="325"/>
      <c r="P490" s="185"/>
      <c r="Q490" s="433"/>
      <c r="R490" s="581" t="s">
        <v>1630</v>
      </c>
      <c r="S490" s="581" t="s">
        <v>2262</v>
      </c>
      <c r="AA490" s="1332"/>
    </row>
    <row r="491" spans="6:27" ht="10.5" customHeight="1">
      <c r="F491" s="371"/>
      <c r="G491" s="348"/>
      <c r="H491" s="348"/>
      <c r="I491" s="348"/>
      <c r="J491" s="348"/>
      <c r="K491" s="348"/>
      <c r="L491" s="348"/>
      <c r="M491" s="348"/>
      <c r="N491" s="680" t="s">
        <v>1350</v>
      </c>
      <c r="O491" s="325"/>
      <c r="P491" s="185"/>
      <c r="Q491" s="433"/>
      <c r="R491" s="581" t="s">
        <v>1632</v>
      </c>
      <c r="S491" s="581" t="s">
        <v>1952</v>
      </c>
      <c r="AA491" s="1332"/>
    </row>
    <row r="492" spans="6:27" ht="10.5" customHeight="1">
      <c r="F492" s="371"/>
      <c r="G492" s="348"/>
      <c r="H492" s="348"/>
      <c r="I492" s="348"/>
      <c r="J492" s="348"/>
      <c r="K492" s="348"/>
      <c r="L492" s="348"/>
      <c r="M492" s="348"/>
      <c r="N492" s="680" t="s">
        <v>672</v>
      </c>
      <c r="O492" s="325"/>
      <c r="P492" s="185"/>
      <c r="Q492" s="433"/>
      <c r="R492" s="581" t="s">
        <v>1635</v>
      </c>
      <c r="S492" s="581" t="s">
        <v>2677</v>
      </c>
      <c r="AA492" s="1332"/>
    </row>
    <row r="493" spans="6:27" ht="10.5" customHeight="1">
      <c r="F493" s="371"/>
      <c r="G493" s="348"/>
      <c r="H493" s="348"/>
      <c r="I493" s="348"/>
      <c r="J493" s="348"/>
      <c r="K493" s="348"/>
      <c r="L493" s="348"/>
      <c r="M493" s="348"/>
      <c r="N493" s="680" t="s">
        <v>713</v>
      </c>
      <c r="O493" s="325"/>
      <c r="P493" s="185"/>
      <c r="Q493" s="433"/>
      <c r="R493" s="581" t="s">
        <v>391</v>
      </c>
      <c r="S493" s="581" t="s">
        <v>2572</v>
      </c>
      <c r="AA493" s="1332"/>
    </row>
    <row r="494" spans="6:27" ht="10.5" customHeight="1">
      <c r="F494" s="371"/>
      <c r="G494" s="348"/>
      <c r="H494" s="348"/>
      <c r="I494" s="348"/>
      <c r="J494" s="348"/>
      <c r="K494" s="348"/>
      <c r="L494" s="348"/>
      <c r="M494" s="348"/>
      <c r="N494" s="680" t="s">
        <v>714</v>
      </c>
      <c r="O494" s="325"/>
      <c r="P494" s="185"/>
      <c r="Q494" s="433"/>
      <c r="R494" s="684" t="s">
        <v>393</v>
      </c>
      <c r="S494" s="581" t="s">
        <v>1369</v>
      </c>
      <c r="AA494" s="1332"/>
    </row>
    <row r="495" spans="6:27" ht="10.5" customHeight="1">
      <c r="F495" s="371"/>
      <c r="G495" s="348"/>
      <c r="H495" s="348"/>
      <c r="I495" s="348"/>
      <c r="J495" s="348"/>
      <c r="K495" s="348"/>
      <c r="L495" s="348"/>
      <c r="M495" s="348"/>
      <c r="N495" s="680" t="s">
        <v>541</v>
      </c>
      <c r="O495" s="325"/>
      <c r="P495" s="185"/>
      <c r="Q495" s="433"/>
      <c r="R495" s="684" t="s">
        <v>258</v>
      </c>
      <c r="S495" s="581" t="s">
        <v>2252</v>
      </c>
      <c r="AA495" s="1334"/>
    </row>
    <row r="496" spans="6:27" ht="10.5" customHeight="1">
      <c r="F496" s="371"/>
      <c r="G496" s="348"/>
      <c r="H496" s="348"/>
      <c r="I496" s="348"/>
      <c r="J496" s="348"/>
      <c r="K496" s="348"/>
      <c r="L496" s="348"/>
      <c r="M496" s="348"/>
      <c r="N496" s="680" t="s">
        <v>543</v>
      </c>
      <c r="O496" s="325"/>
      <c r="P496" s="185"/>
      <c r="Q496" s="433"/>
      <c r="R496" s="581" t="s">
        <v>1665</v>
      </c>
      <c r="S496" s="581" t="s">
        <v>2616</v>
      </c>
      <c r="AA496" s="1334"/>
    </row>
    <row r="497" spans="6:27" ht="10.5" customHeight="1">
      <c r="F497" s="371"/>
      <c r="G497" s="348"/>
      <c r="H497" s="348"/>
      <c r="I497" s="348"/>
      <c r="J497" s="348"/>
      <c r="K497" s="348"/>
      <c r="L497" s="348"/>
      <c r="M497" s="348"/>
      <c r="N497" s="680" t="s">
        <v>545</v>
      </c>
      <c r="O497" s="325"/>
      <c r="P497" s="185"/>
      <c r="Q497" s="433"/>
      <c r="R497" s="581" t="s">
        <v>3005</v>
      </c>
      <c r="S497" s="581" t="s">
        <v>341</v>
      </c>
      <c r="AA497" s="1332"/>
    </row>
    <row r="498" spans="6:27" ht="10.5" customHeight="1">
      <c r="F498" s="371"/>
      <c r="G498" s="348"/>
      <c r="H498" s="348"/>
      <c r="I498" s="348"/>
      <c r="J498" s="348"/>
      <c r="K498" s="348"/>
      <c r="L498" s="348"/>
      <c r="M498" s="348"/>
      <c r="N498" s="680" t="s">
        <v>547</v>
      </c>
      <c r="O498" s="325"/>
      <c r="P498" s="185"/>
      <c r="Q498" s="433"/>
      <c r="R498" s="581" t="s">
        <v>1124</v>
      </c>
      <c r="S498" s="581" t="s">
        <v>2679</v>
      </c>
      <c r="AA498" s="1332"/>
    </row>
    <row r="499" spans="6:27" ht="10.5" customHeight="1">
      <c r="F499" s="371"/>
      <c r="G499" s="348"/>
      <c r="H499" s="348"/>
      <c r="I499" s="348"/>
      <c r="J499" s="348"/>
      <c r="K499" s="348"/>
      <c r="L499" s="348"/>
      <c r="M499" s="348"/>
      <c r="N499" s="680" t="s">
        <v>560</v>
      </c>
      <c r="O499" s="325"/>
      <c r="P499" s="185"/>
      <c r="Q499" s="433"/>
      <c r="R499" s="581" t="s">
        <v>1126</v>
      </c>
      <c r="S499" s="581" t="s">
        <v>1359</v>
      </c>
      <c r="AA499" s="1332"/>
    </row>
    <row r="500" spans="6:27" ht="10.5" customHeight="1">
      <c r="F500" s="371"/>
      <c r="G500" s="348"/>
      <c r="H500" s="348"/>
      <c r="I500" s="348"/>
      <c r="J500" s="348"/>
      <c r="K500" s="348"/>
      <c r="L500" s="348"/>
      <c r="M500" s="348"/>
      <c r="N500" s="680" t="s">
        <v>562</v>
      </c>
      <c r="O500" s="325"/>
      <c r="P500" s="185"/>
      <c r="Q500" s="433"/>
      <c r="R500" s="682" t="s">
        <v>1128</v>
      </c>
      <c r="S500" s="682" t="s">
        <v>681</v>
      </c>
      <c r="AA500" s="1332"/>
    </row>
    <row r="501" spans="6:27" ht="10.5" customHeight="1">
      <c r="F501" s="371"/>
      <c r="G501" s="348"/>
      <c r="H501" s="348"/>
      <c r="I501" s="348"/>
      <c r="J501" s="348"/>
      <c r="K501" s="348"/>
      <c r="L501" s="348"/>
      <c r="M501" s="348"/>
      <c r="N501" s="680" t="s">
        <v>743</v>
      </c>
      <c r="O501" s="325"/>
      <c r="P501" s="185"/>
      <c r="Q501" s="433"/>
      <c r="R501" s="581" t="s">
        <v>270</v>
      </c>
      <c r="S501" s="581" t="s">
        <v>332</v>
      </c>
      <c r="AA501" s="1333"/>
    </row>
    <row r="502" spans="6:27" ht="10.5" customHeight="1">
      <c r="F502" s="371"/>
      <c r="G502" s="348"/>
      <c r="H502" s="348"/>
      <c r="I502" s="348"/>
      <c r="J502" s="348"/>
      <c r="K502" s="348"/>
      <c r="L502" s="348"/>
      <c r="M502" s="348"/>
      <c r="N502" s="680" t="s">
        <v>608</v>
      </c>
      <c r="O502" s="325"/>
      <c r="P502" s="185"/>
      <c r="Q502" s="433"/>
      <c r="R502" s="581" t="s">
        <v>272</v>
      </c>
      <c r="S502" s="581" t="s">
        <v>2484</v>
      </c>
      <c r="AA502" s="1332"/>
    </row>
    <row r="503" spans="6:27" ht="10.5" customHeight="1">
      <c r="F503" s="371"/>
      <c r="G503" s="348"/>
      <c r="H503" s="348"/>
      <c r="I503" s="348"/>
      <c r="J503" s="348"/>
      <c r="K503" s="348"/>
      <c r="L503" s="348"/>
      <c r="M503" s="348"/>
      <c r="N503" s="680" t="s">
        <v>609</v>
      </c>
      <c r="O503" s="325"/>
      <c r="P503" s="185"/>
      <c r="Q503" s="433"/>
      <c r="R503" s="682" t="s">
        <v>1687</v>
      </c>
      <c r="S503" s="682" t="s">
        <v>904</v>
      </c>
      <c r="AA503" s="1332"/>
    </row>
    <row r="504" spans="6:27" ht="10.5" customHeight="1">
      <c r="F504" s="371"/>
      <c r="G504" s="348"/>
      <c r="H504" s="348"/>
      <c r="I504" s="348"/>
      <c r="J504" s="348"/>
      <c r="K504" s="348"/>
      <c r="L504" s="348"/>
      <c r="M504" s="348"/>
      <c r="N504" s="680" t="s">
        <v>2155</v>
      </c>
      <c r="O504" s="325"/>
      <c r="P504" s="185"/>
      <c r="Q504" s="433"/>
      <c r="R504" s="581" t="s">
        <v>2405</v>
      </c>
      <c r="S504" s="581" t="s">
        <v>1134</v>
      </c>
      <c r="AA504" s="1333"/>
    </row>
    <row r="505" spans="6:27" ht="10.5" customHeight="1">
      <c r="F505" s="371"/>
      <c r="G505" s="348"/>
      <c r="H505" s="348"/>
      <c r="I505" s="348"/>
      <c r="J505" s="348"/>
      <c r="K505" s="348"/>
      <c r="L505" s="348"/>
      <c r="M505" s="348"/>
      <c r="N505" s="680" t="s">
        <v>481</v>
      </c>
      <c r="O505" s="325"/>
      <c r="P505" s="185"/>
      <c r="Q505" s="433"/>
      <c r="R505" s="581" t="s">
        <v>499</v>
      </c>
      <c r="S505" s="581" t="s">
        <v>1725</v>
      </c>
      <c r="AA505" s="1332"/>
    </row>
    <row r="506" spans="6:27" ht="10.5" customHeight="1">
      <c r="F506" s="371"/>
      <c r="G506" s="348"/>
      <c r="H506" s="348"/>
      <c r="I506" s="348"/>
      <c r="J506" s="348"/>
      <c r="K506" s="348"/>
      <c r="L506" s="348"/>
      <c r="M506" s="348"/>
      <c r="N506" s="680" t="s">
        <v>482</v>
      </c>
      <c r="O506" s="325"/>
      <c r="P506" s="185"/>
      <c r="Q506" s="433"/>
      <c r="R506" s="581" t="s">
        <v>3006</v>
      </c>
      <c r="S506" s="581" t="s">
        <v>2262</v>
      </c>
      <c r="AA506" s="1332"/>
    </row>
    <row r="507" spans="6:27" ht="10.5" customHeight="1">
      <c r="F507" s="371"/>
      <c r="G507" s="348"/>
      <c r="H507" s="348"/>
      <c r="I507" s="348"/>
      <c r="J507" s="348"/>
      <c r="K507" s="348"/>
      <c r="L507" s="348"/>
      <c r="M507" s="348"/>
      <c r="N507" s="680" t="s">
        <v>1311</v>
      </c>
      <c r="O507" s="325"/>
      <c r="P507" s="185"/>
      <c r="Q507" s="433"/>
      <c r="R507" s="581" t="s">
        <v>712</v>
      </c>
      <c r="S507" s="581" t="s">
        <v>167</v>
      </c>
      <c r="AA507" s="1332"/>
    </row>
    <row r="508" spans="6:27" ht="10.5" customHeight="1">
      <c r="F508" s="371"/>
      <c r="G508" s="348"/>
      <c r="H508" s="348"/>
      <c r="I508" s="348"/>
      <c r="J508" s="348"/>
      <c r="K508" s="348"/>
      <c r="L508" s="348"/>
      <c r="M508" s="348"/>
      <c r="N508" s="680" t="s">
        <v>1030</v>
      </c>
      <c r="O508" s="325"/>
      <c r="P508" s="185"/>
      <c r="Q508" s="433"/>
      <c r="R508" s="581" t="s">
        <v>540</v>
      </c>
      <c r="S508" s="581" t="s">
        <v>761</v>
      </c>
      <c r="AA508" s="1332"/>
    </row>
    <row r="509" spans="6:27" ht="10.5" customHeight="1">
      <c r="F509" s="371"/>
      <c r="G509" s="348"/>
      <c r="H509" s="348"/>
      <c r="I509" s="348"/>
      <c r="J509" s="348"/>
      <c r="K509" s="348"/>
      <c r="L509" s="348"/>
      <c r="M509" s="348"/>
      <c r="N509" s="680" t="s">
        <v>1032</v>
      </c>
      <c r="O509" s="325"/>
      <c r="P509" s="185"/>
      <c r="Q509" s="433"/>
      <c r="R509" s="581" t="s">
        <v>542</v>
      </c>
      <c r="S509" s="581" t="s">
        <v>1378</v>
      </c>
      <c r="AA509" s="1332"/>
    </row>
    <row r="510" spans="6:27" ht="10.5" customHeight="1">
      <c r="F510" s="371"/>
      <c r="G510" s="348"/>
      <c r="H510" s="348"/>
      <c r="I510" s="348"/>
      <c r="J510" s="348"/>
      <c r="K510" s="348"/>
      <c r="L510" s="348"/>
      <c r="M510" s="348"/>
      <c r="N510" s="680" t="s">
        <v>1033</v>
      </c>
      <c r="O510" s="325"/>
      <c r="P510" s="185"/>
      <c r="Q510" s="433"/>
      <c r="R510" s="581" t="s">
        <v>544</v>
      </c>
      <c r="S510" s="581" t="s">
        <v>1512</v>
      </c>
      <c r="AA510" s="1332"/>
    </row>
    <row r="511" spans="6:27" ht="10.5" customHeight="1">
      <c r="F511" s="371"/>
      <c r="G511" s="348"/>
      <c r="H511" s="348"/>
      <c r="I511" s="348"/>
      <c r="J511" s="348"/>
      <c r="K511" s="348"/>
      <c r="L511" s="348"/>
      <c r="M511" s="348"/>
      <c r="N511" s="680" t="s">
        <v>141</v>
      </c>
      <c r="O511" s="325"/>
      <c r="P511" s="185"/>
      <c r="Q511" s="433"/>
      <c r="R511" s="581" t="s">
        <v>546</v>
      </c>
      <c r="S511" s="581" t="s">
        <v>904</v>
      </c>
      <c r="AA511" s="1332"/>
    </row>
    <row r="512" spans="6:27" ht="10.5" customHeight="1">
      <c r="F512" s="371"/>
      <c r="G512" s="348"/>
      <c r="H512" s="348"/>
      <c r="I512" s="348"/>
      <c r="J512" s="348"/>
      <c r="K512" s="348"/>
      <c r="L512" s="348"/>
      <c r="M512" s="348"/>
      <c r="N512" s="680" t="s">
        <v>142</v>
      </c>
      <c r="O512" s="325"/>
      <c r="P512" s="185"/>
      <c r="Q512" s="433"/>
      <c r="R512" s="581" t="s">
        <v>548</v>
      </c>
      <c r="S512" s="581" t="s">
        <v>1849</v>
      </c>
      <c r="AA512" s="1332"/>
    </row>
    <row r="513" spans="6:27" ht="10.5" customHeight="1">
      <c r="F513" s="371"/>
      <c r="G513" s="348"/>
      <c r="H513" s="348"/>
      <c r="I513" s="348"/>
      <c r="J513" s="348"/>
      <c r="K513" s="348"/>
      <c r="L513" s="348"/>
      <c r="M513" s="348"/>
      <c r="N513" s="680" t="s">
        <v>144</v>
      </c>
      <c r="O513" s="325"/>
      <c r="P513" s="185"/>
      <c r="Q513" s="433"/>
      <c r="R513" s="581" t="s">
        <v>561</v>
      </c>
      <c r="S513" s="581" t="s">
        <v>343</v>
      </c>
      <c r="AA513" s="1332"/>
    </row>
    <row r="514" spans="6:27" ht="10.5" customHeight="1">
      <c r="F514" s="371"/>
      <c r="G514" s="348"/>
      <c r="H514" s="348"/>
      <c r="I514" s="348"/>
      <c r="J514" s="348"/>
      <c r="K514" s="348"/>
      <c r="L514" s="348"/>
      <c r="M514" s="348"/>
      <c r="N514" s="680" t="s">
        <v>2682</v>
      </c>
      <c r="O514" s="325"/>
      <c r="P514" s="185"/>
      <c r="Q514" s="433"/>
      <c r="R514" s="581" t="s">
        <v>563</v>
      </c>
      <c r="S514" s="581" t="s">
        <v>444</v>
      </c>
      <c r="AA514" s="1332"/>
    </row>
    <row r="515" spans="6:27" ht="10.5" customHeight="1">
      <c r="F515" s="371"/>
      <c r="G515" s="348"/>
      <c r="H515" s="348"/>
      <c r="I515" s="348"/>
      <c r="J515" s="348"/>
      <c r="K515" s="348"/>
      <c r="L515" s="348"/>
      <c r="M515" s="348"/>
      <c r="N515" s="680" t="s">
        <v>2172</v>
      </c>
      <c r="O515" s="325"/>
      <c r="P515" s="185"/>
      <c r="Q515" s="433"/>
      <c r="R515" s="682" t="s">
        <v>719</v>
      </c>
      <c r="S515" s="682" t="s">
        <v>1252</v>
      </c>
      <c r="AA515" s="1332"/>
    </row>
    <row r="516" spans="6:27" ht="10.5" customHeight="1">
      <c r="F516" s="371"/>
      <c r="G516" s="348"/>
      <c r="H516" s="348"/>
      <c r="I516" s="348"/>
      <c r="J516" s="348"/>
      <c r="K516" s="348"/>
      <c r="L516" s="348"/>
      <c r="M516" s="348"/>
      <c r="N516" s="680" t="s">
        <v>2174</v>
      </c>
      <c r="O516" s="325"/>
      <c r="P516" s="185"/>
      <c r="Q516" s="433"/>
      <c r="R516" s="581" t="s">
        <v>861</v>
      </c>
      <c r="S516" s="581" t="s">
        <v>681</v>
      </c>
      <c r="AA516" s="1333"/>
    </row>
    <row r="517" spans="6:27" ht="10.5" customHeight="1">
      <c r="F517" s="371"/>
      <c r="G517" s="348"/>
      <c r="H517" s="348"/>
      <c r="I517" s="348"/>
      <c r="J517" s="348"/>
      <c r="K517" s="348"/>
      <c r="L517" s="348"/>
      <c r="M517" s="348"/>
      <c r="N517" s="680" t="s">
        <v>610</v>
      </c>
      <c r="O517" s="325"/>
      <c r="P517" s="185"/>
      <c r="Q517" s="433"/>
      <c r="R517" s="581" t="s">
        <v>1692</v>
      </c>
      <c r="S517" s="581" t="s">
        <v>690</v>
      </c>
      <c r="AA517" s="1332"/>
    </row>
    <row r="518" spans="6:27" ht="10.5" customHeight="1">
      <c r="F518" s="371"/>
      <c r="G518" s="348"/>
      <c r="H518" s="348"/>
      <c r="I518" s="348"/>
      <c r="J518" s="348"/>
      <c r="K518" s="348"/>
      <c r="L518" s="348"/>
      <c r="M518" s="348"/>
      <c r="N518" s="680" t="s">
        <v>2423</v>
      </c>
      <c r="O518" s="325"/>
      <c r="P518" s="185"/>
      <c r="Q518" s="433"/>
      <c r="R518" s="581" t="s">
        <v>2156</v>
      </c>
      <c r="S518" s="581" t="s">
        <v>1134</v>
      </c>
      <c r="AA518" s="1332"/>
    </row>
    <row r="519" spans="6:27" ht="10.5" customHeight="1">
      <c r="F519" s="371"/>
      <c r="G519" s="348"/>
      <c r="H519" s="348"/>
      <c r="I519" s="348"/>
      <c r="J519" s="348"/>
      <c r="K519" s="348"/>
      <c r="L519" s="348"/>
      <c r="M519" s="348"/>
      <c r="N519" s="680" t="s">
        <v>731</v>
      </c>
      <c r="O519" s="325"/>
      <c r="P519" s="185"/>
      <c r="Q519" s="433"/>
      <c r="R519" s="581" t="s">
        <v>1694</v>
      </c>
      <c r="S519" s="581" t="s">
        <v>2084</v>
      </c>
      <c r="AA519" s="1332"/>
    </row>
    <row r="520" spans="6:27" ht="10.5" customHeight="1">
      <c r="F520" s="371"/>
      <c r="G520" s="348"/>
      <c r="H520" s="348"/>
      <c r="I520" s="348"/>
      <c r="J520" s="348"/>
      <c r="K520" s="348"/>
      <c r="L520" s="348"/>
      <c r="M520" s="348"/>
      <c r="N520" s="680" t="s">
        <v>733</v>
      </c>
      <c r="O520" s="325"/>
      <c r="P520" s="185"/>
      <c r="Q520" s="433"/>
      <c r="R520" s="581" t="s">
        <v>483</v>
      </c>
      <c r="S520" s="581" t="s">
        <v>1369</v>
      </c>
      <c r="AA520" s="1332"/>
    </row>
    <row r="521" spans="6:27" ht="10.5" customHeight="1">
      <c r="F521" s="371"/>
      <c r="G521" s="348"/>
      <c r="H521" s="348"/>
      <c r="I521" s="348"/>
      <c r="J521" s="348"/>
      <c r="K521" s="348"/>
      <c r="L521" s="348"/>
      <c r="M521" s="348"/>
      <c r="N521" s="680" t="s">
        <v>2364</v>
      </c>
      <c r="O521" s="325"/>
      <c r="P521" s="185"/>
      <c r="Q521" s="433"/>
      <c r="R521" s="581" t="s">
        <v>189</v>
      </c>
      <c r="S521" s="581" t="s">
        <v>164</v>
      </c>
      <c r="AA521" s="1332"/>
    </row>
    <row r="522" spans="6:27" ht="10.5" customHeight="1">
      <c r="F522" s="371"/>
      <c r="G522" s="348"/>
      <c r="H522" s="348"/>
      <c r="I522" s="348"/>
      <c r="J522" s="348"/>
      <c r="K522" s="348"/>
      <c r="L522" s="348"/>
      <c r="M522" s="348"/>
      <c r="N522" s="680" t="s">
        <v>44</v>
      </c>
      <c r="O522" s="325"/>
      <c r="P522" s="185"/>
      <c r="Q522" s="433"/>
      <c r="R522" s="581" t="s">
        <v>1312</v>
      </c>
      <c r="S522" s="581" t="s">
        <v>338</v>
      </c>
      <c r="AA522" s="1332"/>
    </row>
    <row r="523" spans="6:27" ht="10.5" customHeight="1">
      <c r="F523" s="371"/>
      <c r="G523" s="348"/>
      <c r="H523" s="348"/>
      <c r="I523" s="348"/>
      <c r="J523" s="348"/>
      <c r="K523" s="348"/>
      <c r="L523" s="348"/>
      <c r="M523" s="348"/>
      <c r="N523" s="680" t="s">
        <v>45</v>
      </c>
      <c r="O523" s="325"/>
      <c r="P523" s="185"/>
      <c r="Q523" s="433"/>
      <c r="R523" s="581" t="s">
        <v>1031</v>
      </c>
      <c r="S523" s="581" t="s">
        <v>1509</v>
      </c>
      <c r="AA523" s="1332"/>
    </row>
    <row r="524" spans="6:27" ht="10.5" customHeight="1">
      <c r="F524" s="371"/>
      <c r="G524" s="348"/>
      <c r="H524" s="348"/>
      <c r="I524" s="348"/>
      <c r="J524" s="348"/>
      <c r="K524" s="348"/>
      <c r="L524" s="348"/>
      <c r="M524" s="348"/>
      <c r="N524" s="680" t="s">
        <v>2327</v>
      </c>
      <c r="O524" s="325"/>
      <c r="P524" s="185"/>
      <c r="Q524" s="433"/>
      <c r="R524" s="581" t="s">
        <v>1097</v>
      </c>
      <c r="S524" s="581" t="s">
        <v>180</v>
      </c>
      <c r="AA524" s="1332"/>
    </row>
    <row r="525" spans="6:27" ht="10.5" customHeight="1">
      <c r="F525" s="371"/>
      <c r="G525" s="348"/>
      <c r="H525" s="348"/>
      <c r="I525" s="348"/>
      <c r="J525" s="348"/>
      <c r="K525" s="348"/>
      <c r="L525" s="348"/>
      <c r="M525" s="348"/>
      <c r="N525" s="680" t="s">
        <v>2355</v>
      </c>
      <c r="O525" s="325"/>
      <c r="P525" s="185"/>
      <c r="Q525" s="433"/>
      <c r="R525" s="581" t="s">
        <v>140</v>
      </c>
      <c r="S525" s="581" t="s">
        <v>2619</v>
      </c>
      <c r="AA525" s="1332"/>
    </row>
    <row r="526" spans="6:27" ht="10.5" customHeight="1">
      <c r="F526" s="371"/>
      <c r="G526" s="348"/>
      <c r="H526" s="348"/>
      <c r="I526" s="348"/>
      <c r="J526" s="348"/>
      <c r="K526" s="348"/>
      <c r="L526" s="348"/>
      <c r="M526" s="348"/>
      <c r="N526" s="680" t="s">
        <v>407</v>
      </c>
      <c r="O526" s="325"/>
      <c r="P526" s="185"/>
      <c r="Q526" s="433"/>
      <c r="R526" s="581" t="s">
        <v>2672</v>
      </c>
      <c r="S526" s="581" t="s">
        <v>1381</v>
      </c>
      <c r="AA526" s="1332"/>
    </row>
    <row r="527" spans="6:27" ht="10.5" customHeight="1">
      <c r="F527" s="371"/>
      <c r="G527" s="348"/>
      <c r="H527" s="348"/>
      <c r="I527" s="348"/>
      <c r="J527" s="348"/>
      <c r="K527" s="348"/>
      <c r="L527" s="348"/>
      <c r="M527" s="348"/>
      <c r="N527" s="680" t="s">
        <v>409</v>
      </c>
      <c r="O527" s="325"/>
      <c r="P527" s="185"/>
      <c r="Q527" s="433"/>
      <c r="R527" s="581" t="s">
        <v>143</v>
      </c>
      <c r="S527" s="581" t="s">
        <v>681</v>
      </c>
      <c r="AA527" s="1332"/>
    </row>
    <row r="528" spans="6:27" ht="10.5" customHeight="1">
      <c r="F528" s="371"/>
      <c r="G528" s="348"/>
      <c r="H528" s="348"/>
      <c r="I528" s="348"/>
      <c r="J528" s="348"/>
      <c r="K528" s="348"/>
      <c r="L528" s="348"/>
      <c r="M528" s="348"/>
      <c r="N528" s="680" t="s">
        <v>411</v>
      </c>
      <c r="O528" s="325"/>
      <c r="P528" s="185"/>
      <c r="Q528" s="433"/>
      <c r="R528" s="682" t="s">
        <v>145</v>
      </c>
      <c r="S528" s="682" t="s">
        <v>2569</v>
      </c>
      <c r="AA528" s="1332"/>
    </row>
    <row r="529" spans="6:27" ht="10.5" customHeight="1">
      <c r="F529" s="371"/>
      <c r="G529" s="348"/>
      <c r="H529" s="348"/>
      <c r="I529" s="348"/>
      <c r="J529" s="348"/>
      <c r="K529" s="348"/>
      <c r="L529" s="348"/>
      <c r="M529" s="348"/>
      <c r="N529" s="680" t="s">
        <v>413</v>
      </c>
      <c r="O529" s="325"/>
      <c r="P529" s="185"/>
      <c r="Q529" s="433"/>
      <c r="R529" s="682" t="s">
        <v>2683</v>
      </c>
      <c r="S529" s="682" t="s">
        <v>1373</v>
      </c>
      <c r="AA529" s="1333"/>
    </row>
    <row r="530" spans="6:27" ht="10.5" customHeight="1">
      <c r="F530" s="371"/>
      <c r="G530" s="348"/>
      <c r="H530" s="348"/>
      <c r="I530" s="348"/>
      <c r="J530" s="348"/>
      <c r="K530" s="348"/>
      <c r="L530" s="348"/>
      <c r="M530" s="348"/>
      <c r="N530" s="680" t="s">
        <v>1640</v>
      </c>
      <c r="O530" s="325"/>
      <c r="P530" s="185"/>
      <c r="Q530" s="433"/>
      <c r="R530" s="682" t="s">
        <v>2173</v>
      </c>
      <c r="S530" s="682" t="s">
        <v>2575</v>
      </c>
      <c r="AA530" s="1333"/>
    </row>
    <row r="531" spans="6:27" ht="10.5" customHeight="1">
      <c r="F531" s="371"/>
      <c r="G531" s="348"/>
      <c r="H531" s="348"/>
      <c r="I531" s="348"/>
      <c r="J531" s="348"/>
      <c r="K531" s="348"/>
      <c r="L531" s="348"/>
      <c r="M531" s="348"/>
      <c r="N531" s="680" t="s">
        <v>1642</v>
      </c>
      <c r="O531" s="325"/>
      <c r="P531" s="185"/>
      <c r="Q531" s="433"/>
      <c r="R531" s="581" t="s">
        <v>784</v>
      </c>
      <c r="S531" s="581" t="s">
        <v>124</v>
      </c>
      <c r="AA531" s="1333"/>
    </row>
    <row r="532" spans="6:27" ht="10.5" customHeight="1">
      <c r="F532" s="371"/>
      <c r="G532" s="348"/>
      <c r="H532" s="348"/>
      <c r="I532" s="348"/>
      <c r="J532" s="348"/>
      <c r="K532" s="348"/>
      <c r="L532" s="348"/>
      <c r="M532" s="348"/>
      <c r="N532" s="680" t="s">
        <v>1644</v>
      </c>
      <c r="O532" s="325"/>
      <c r="P532" s="185"/>
      <c r="Q532" s="433"/>
      <c r="R532" s="581" t="s">
        <v>785</v>
      </c>
      <c r="S532" s="581" t="s">
        <v>189</v>
      </c>
      <c r="AA532" s="1332"/>
    </row>
    <row r="533" spans="6:27" ht="10.5" customHeight="1">
      <c r="F533" s="371"/>
      <c r="G533" s="348"/>
      <c r="H533" s="348"/>
      <c r="I533" s="348"/>
      <c r="J533" s="348"/>
      <c r="K533" s="348"/>
      <c r="L533" s="348"/>
      <c r="M533" s="348"/>
      <c r="N533" s="680" t="s">
        <v>2681</v>
      </c>
      <c r="O533" s="325"/>
      <c r="P533" s="185"/>
      <c r="Q533" s="433"/>
      <c r="R533" s="581" t="s">
        <v>732</v>
      </c>
      <c r="S533" s="581" t="s">
        <v>763</v>
      </c>
      <c r="AA533" s="1332"/>
    </row>
    <row r="534" spans="6:27" ht="10.5" customHeight="1">
      <c r="F534" s="371"/>
      <c r="G534" s="348"/>
      <c r="H534" s="348"/>
      <c r="I534" s="348"/>
      <c r="J534" s="348"/>
      <c r="K534" s="348"/>
      <c r="L534" s="348"/>
      <c r="M534" s="348"/>
      <c r="N534" s="680" t="s">
        <v>2539</v>
      </c>
      <c r="O534" s="325"/>
      <c r="P534" s="185"/>
      <c r="Q534" s="433"/>
      <c r="R534" s="581" t="s">
        <v>734</v>
      </c>
      <c r="S534" s="581" t="s">
        <v>1143</v>
      </c>
      <c r="AA534" s="1332"/>
    </row>
    <row r="535" spans="6:27" ht="10.5" customHeight="1">
      <c r="F535" s="371"/>
      <c r="G535" s="348"/>
      <c r="H535" s="348"/>
      <c r="I535" s="348"/>
      <c r="J535" s="348"/>
      <c r="K535" s="348"/>
      <c r="L535" s="348"/>
      <c r="M535" s="348"/>
      <c r="N535" s="680" t="s">
        <v>1897</v>
      </c>
      <c r="O535" s="325"/>
      <c r="P535" s="185"/>
      <c r="Q535" s="433"/>
      <c r="R535" s="581" t="s">
        <v>2365</v>
      </c>
      <c r="S535" s="581" t="s">
        <v>1252</v>
      </c>
      <c r="AA535" s="1332"/>
    </row>
    <row r="536" spans="6:27" ht="10.5" customHeight="1">
      <c r="F536" s="371"/>
      <c r="G536" s="348"/>
      <c r="H536" s="348"/>
      <c r="I536" s="348"/>
      <c r="J536" s="348"/>
      <c r="K536" s="348"/>
      <c r="L536" s="348"/>
      <c r="M536" s="348"/>
      <c r="N536" s="680" t="s">
        <v>1899</v>
      </c>
      <c r="O536" s="325"/>
      <c r="P536" s="185"/>
      <c r="Q536" s="433"/>
      <c r="R536" s="581" t="s">
        <v>2365</v>
      </c>
      <c r="S536" s="581" t="s">
        <v>1252</v>
      </c>
      <c r="AA536" s="1332"/>
    </row>
    <row r="537" spans="6:27" ht="10.5" customHeight="1">
      <c r="F537" s="371"/>
      <c r="G537" s="348"/>
      <c r="H537" s="348"/>
      <c r="I537" s="348"/>
      <c r="J537" s="348"/>
      <c r="K537" s="348"/>
      <c r="L537" s="348"/>
      <c r="M537" s="348"/>
      <c r="N537" s="680" t="s">
        <v>1901</v>
      </c>
      <c r="O537" s="325"/>
      <c r="P537" s="185"/>
      <c r="Q537" s="433"/>
      <c r="R537" s="581" t="s">
        <v>46</v>
      </c>
      <c r="S537" s="581" t="s">
        <v>1372</v>
      </c>
      <c r="AA537" s="1332"/>
    </row>
    <row r="538" spans="6:27" ht="10.5" customHeight="1">
      <c r="F538" s="371"/>
      <c r="G538" s="348"/>
      <c r="H538" s="348"/>
      <c r="I538" s="348"/>
      <c r="J538" s="348"/>
      <c r="K538" s="348"/>
      <c r="L538" s="348"/>
      <c r="M538" s="348"/>
      <c r="N538" s="680" t="s">
        <v>1902</v>
      </c>
      <c r="O538" s="325"/>
      <c r="P538" s="185"/>
      <c r="Q538" s="433"/>
      <c r="R538" s="581" t="s">
        <v>2328</v>
      </c>
      <c r="S538" s="581" t="s">
        <v>1366</v>
      </c>
      <c r="AA538" s="1332"/>
    </row>
    <row r="539" spans="6:27" ht="10.5" customHeight="1">
      <c r="F539" s="371"/>
      <c r="G539" s="348"/>
      <c r="H539" s="348"/>
      <c r="I539" s="348"/>
      <c r="J539" s="348"/>
      <c r="K539" s="348"/>
      <c r="L539" s="348"/>
      <c r="M539" s="348"/>
      <c r="N539" s="680" t="s">
        <v>1904</v>
      </c>
      <c r="O539" s="325"/>
      <c r="P539" s="185"/>
      <c r="Q539" s="433"/>
      <c r="R539" s="581" t="s">
        <v>862</v>
      </c>
      <c r="S539" s="581" t="s">
        <v>180</v>
      </c>
      <c r="AA539" s="1332"/>
    </row>
    <row r="540" spans="6:27" ht="10.5" customHeight="1">
      <c r="F540" s="371"/>
      <c r="G540" s="348"/>
      <c r="H540" s="348"/>
      <c r="I540" s="348"/>
      <c r="J540" s="348"/>
      <c r="K540" s="348"/>
      <c r="L540" s="348"/>
      <c r="M540" s="348"/>
      <c r="N540" s="680" t="s">
        <v>1906</v>
      </c>
      <c r="O540" s="325"/>
      <c r="P540" s="185"/>
      <c r="Q540" s="433"/>
      <c r="R540" s="581" t="s">
        <v>1067</v>
      </c>
      <c r="S540" s="581" t="s">
        <v>1131</v>
      </c>
      <c r="AA540" s="1332"/>
    </row>
    <row r="541" spans="6:27" ht="10.5" customHeight="1">
      <c r="F541" s="371"/>
      <c r="G541" s="348"/>
      <c r="H541" s="348"/>
      <c r="I541" s="348"/>
      <c r="J541" s="348"/>
      <c r="K541" s="348"/>
      <c r="L541" s="348"/>
      <c r="M541" s="348"/>
      <c r="N541" s="680" t="s">
        <v>1908</v>
      </c>
      <c r="O541" s="325"/>
      <c r="P541" s="185"/>
      <c r="Q541" s="433"/>
      <c r="R541" s="581" t="s">
        <v>408</v>
      </c>
      <c r="S541" s="581" t="s">
        <v>2677</v>
      </c>
      <c r="AA541" s="1332"/>
    </row>
    <row r="542" spans="6:27" ht="10.5" customHeight="1">
      <c r="F542" s="371"/>
      <c r="G542" s="348"/>
      <c r="H542" s="348"/>
      <c r="I542" s="348"/>
      <c r="J542" s="348"/>
      <c r="K542" s="348"/>
      <c r="L542" s="348"/>
      <c r="M542" s="348"/>
      <c r="N542" s="680" t="s">
        <v>1910</v>
      </c>
      <c r="O542" s="325"/>
      <c r="P542" s="185"/>
      <c r="Q542" s="433"/>
      <c r="R542" s="581" t="s">
        <v>410</v>
      </c>
      <c r="S542" s="581" t="s">
        <v>2247</v>
      </c>
      <c r="AA542" s="1332"/>
    </row>
    <row r="543" spans="6:27" ht="10.5" customHeight="1">
      <c r="F543" s="371"/>
      <c r="G543" s="348"/>
      <c r="H543" s="348"/>
      <c r="I543" s="348"/>
      <c r="J543" s="348"/>
      <c r="K543" s="348"/>
      <c r="L543" s="348"/>
      <c r="M543" s="348"/>
      <c r="N543" s="680" t="s">
        <v>1911</v>
      </c>
      <c r="O543" s="325"/>
      <c r="P543" s="185"/>
      <c r="Q543" s="433"/>
      <c r="R543" s="581" t="s">
        <v>412</v>
      </c>
      <c r="S543" s="581" t="s">
        <v>2619</v>
      </c>
      <c r="AA543" s="1332"/>
    </row>
    <row r="544" spans="6:27" ht="10.5" customHeight="1">
      <c r="F544" s="371"/>
      <c r="G544" s="348"/>
      <c r="H544" s="348"/>
      <c r="I544" s="348"/>
      <c r="J544" s="348"/>
      <c r="K544" s="348"/>
      <c r="L544" s="348"/>
      <c r="M544" s="348"/>
      <c r="N544" s="680" t="s">
        <v>1877</v>
      </c>
      <c r="O544" s="325"/>
      <c r="P544" s="185"/>
      <c r="Q544" s="433"/>
      <c r="R544" s="581" t="s">
        <v>2677</v>
      </c>
      <c r="S544" s="581" t="s">
        <v>1847</v>
      </c>
      <c r="AA544" s="1332"/>
    </row>
    <row r="545" spans="6:27" ht="10.5" customHeight="1">
      <c r="F545" s="371"/>
      <c r="G545" s="348"/>
      <c r="H545" s="348"/>
      <c r="I545" s="348"/>
      <c r="J545" s="348"/>
      <c r="K545" s="348"/>
      <c r="L545" s="348"/>
      <c r="M545" s="348"/>
      <c r="N545" s="680" t="s">
        <v>1700</v>
      </c>
      <c r="O545" s="325"/>
      <c r="P545" s="185"/>
      <c r="Q545" s="433"/>
      <c r="R545" s="581" t="s">
        <v>1641</v>
      </c>
      <c r="S545" s="581" t="s">
        <v>2573</v>
      </c>
      <c r="AA545" s="1332"/>
    </row>
    <row r="546" spans="6:27" ht="10.5" customHeight="1">
      <c r="F546" s="371"/>
      <c r="G546" s="348"/>
      <c r="H546" s="348"/>
      <c r="I546" s="348"/>
      <c r="J546" s="348"/>
      <c r="K546" s="348"/>
      <c r="L546" s="348"/>
      <c r="M546" s="348"/>
      <c r="N546" s="680" t="s">
        <v>1701</v>
      </c>
      <c r="O546" s="325"/>
      <c r="P546" s="185"/>
      <c r="Q546" s="433"/>
      <c r="R546" s="581" t="s">
        <v>1643</v>
      </c>
      <c r="S546" s="581" t="s">
        <v>336</v>
      </c>
      <c r="AA546" s="1332"/>
    </row>
    <row r="547" spans="6:27" ht="10.5" customHeight="1">
      <c r="F547" s="371"/>
      <c r="G547" s="348"/>
      <c r="H547" s="348"/>
      <c r="I547" s="348"/>
      <c r="J547" s="348"/>
      <c r="K547" s="348"/>
      <c r="L547" s="348"/>
      <c r="M547" s="348"/>
      <c r="N547" s="680" t="s">
        <v>1703</v>
      </c>
      <c r="O547" s="325"/>
      <c r="P547" s="185"/>
      <c r="Q547" s="433"/>
      <c r="R547" s="581" t="s">
        <v>1493</v>
      </c>
      <c r="S547" s="581" t="s">
        <v>123</v>
      </c>
      <c r="AA547" s="1332"/>
    </row>
    <row r="548" spans="6:27" ht="10.5" customHeight="1">
      <c r="F548" s="371"/>
      <c r="G548" s="348"/>
      <c r="H548" s="348"/>
      <c r="I548" s="348"/>
      <c r="J548" s="348"/>
      <c r="K548" s="348"/>
      <c r="L548" s="348"/>
      <c r="M548" s="348"/>
      <c r="N548" s="680" t="s">
        <v>2353</v>
      </c>
      <c r="O548" s="325"/>
      <c r="P548" s="185"/>
      <c r="Q548" s="433"/>
      <c r="R548" s="682" t="s">
        <v>2538</v>
      </c>
      <c r="S548" s="682" t="s">
        <v>2575</v>
      </c>
      <c r="AA548" s="1332"/>
    </row>
    <row r="549" spans="6:27" ht="10.5" customHeight="1">
      <c r="F549" s="371"/>
      <c r="G549" s="348"/>
      <c r="H549" s="348"/>
      <c r="I549" s="348"/>
      <c r="J549" s="348"/>
      <c r="K549" s="348"/>
      <c r="L549" s="348"/>
      <c r="M549" s="348"/>
      <c r="N549" s="680" t="s">
        <v>578</v>
      </c>
      <c r="O549" s="325"/>
      <c r="P549" s="185"/>
      <c r="Q549" s="433"/>
      <c r="R549" s="581" t="s">
        <v>1098</v>
      </c>
      <c r="S549" s="581" t="s">
        <v>652</v>
      </c>
      <c r="AA549" s="1333"/>
    </row>
    <row r="550" spans="6:27" ht="10.5" customHeight="1">
      <c r="F550" s="371"/>
      <c r="G550" s="348"/>
      <c r="H550" s="348"/>
      <c r="I550" s="348"/>
      <c r="J550" s="348"/>
      <c r="K550" s="348"/>
      <c r="L550" s="348"/>
      <c r="M550" s="348"/>
      <c r="N550" s="680" t="s">
        <v>580</v>
      </c>
      <c r="O550" s="325"/>
      <c r="P550" s="185"/>
      <c r="Q550" s="433"/>
      <c r="R550" s="581" t="s">
        <v>1099</v>
      </c>
      <c r="S550" s="581" t="s">
        <v>652</v>
      </c>
      <c r="AA550" s="1332"/>
    </row>
    <row r="551" spans="6:27" ht="10.5" customHeight="1">
      <c r="F551" s="371"/>
      <c r="G551" s="348"/>
      <c r="H551" s="348"/>
      <c r="I551" s="348"/>
      <c r="J551" s="348"/>
      <c r="K551" s="348"/>
      <c r="L551" s="348"/>
      <c r="M551" s="348"/>
      <c r="N551" s="680" t="s">
        <v>582</v>
      </c>
      <c r="O551" s="325"/>
      <c r="P551" s="185"/>
      <c r="Q551" s="433"/>
      <c r="R551" s="581" t="s">
        <v>1100</v>
      </c>
      <c r="S551" s="581" t="s">
        <v>652</v>
      </c>
      <c r="AA551" s="1332"/>
    </row>
    <row r="552" spans="6:27" ht="10.5" customHeight="1">
      <c r="F552" s="371"/>
      <c r="G552" s="348"/>
      <c r="H552" s="348"/>
      <c r="I552" s="348"/>
      <c r="J552" s="348"/>
      <c r="K552" s="348"/>
      <c r="L552" s="348"/>
      <c r="M552" s="348"/>
      <c r="N552" s="680" t="s">
        <v>2131</v>
      </c>
      <c r="O552" s="325"/>
      <c r="P552" s="185"/>
      <c r="Q552" s="433"/>
      <c r="R552" s="581" t="s">
        <v>1887</v>
      </c>
      <c r="S552" s="581" t="s">
        <v>2678</v>
      </c>
      <c r="AA552" s="1332"/>
    </row>
    <row r="553" spans="6:27" ht="10.5" customHeight="1">
      <c r="F553" s="371"/>
      <c r="G553" s="348"/>
      <c r="H553" s="348"/>
      <c r="I553" s="348"/>
      <c r="J553" s="348"/>
      <c r="K553" s="348"/>
      <c r="L553" s="348"/>
      <c r="M553" s="348"/>
      <c r="N553" s="680" t="s">
        <v>1503</v>
      </c>
      <c r="O553" s="325"/>
      <c r="P553" s="185"/>
      <c r="Q553" s="433"/>
      <c r="R553" s="581" t="s">
        <v>1898</v>
      </c>
      <c r="S553" s="581" t="s">
        <v>106</v>
      </c>
      <c r="AA553" s="1332"/>
    </row>
    <row r="554" spans="6:27" ht="10.5" customHeight="1">
      <c r="F554" s="371"/>
      <c r="G554" s="348"/>
      <c r="H554" s="348"/>
      <c r="I554" s="348"/>
      <c r="J554" s="348"/>
      <c r="K554" s="348"/>
      <c r="L554" s="348"/>
      <c r="M554" s="348"/>
      <c r="N554" s="680" t="s">
        <v>1505</v>
      </c>
      <c r="O554" s="325"/>
      <c r="P554" s="185"/>
      <c r="Q554" s="433"/>
      <c r="R554" s="581" t="s">
        <v>1900</v>
      </c>
      <c r="S554" s="581" t="s">
        <v>2322</v>
      </c>
      <c r="AA554" s="1332"/>
    </row>
    <row r="555" spans="6:27" ht="10.5" customHeight="1">
      <c r="F555" s="371"/>
      <c r="G555" s="348"/>
      <c r="H555" s="348"/>
      <c r="I555" s="348"/>
      <c r="J555" s="348"/>
      <c r="K555" s="348"/>
      <c r="L555" s="348"/>
      <c r="M555" s="348"/>
      <c r="N555" s="680" t="s">
        <v>1506</v>
      </c>
      <c r="O555" s="325"/>
      <c r="P555" s="185"/>
      <c r="Q555" s="433"/>
      <c r="R555" s="581" t="s">
        <v>1903</v>
      </c>
      <c r="S555" s="581" t="s">
        <v>2322</v>
      </c>
      <c r="AA555" s="1332"/>
    </row>
    <row r="556" spans="6:27" ht="10.5" customHeight="1">
      <c r="F556" s="371"/>
      <c r="G556" s="348"/>
      <c r="H556" s="348"/>
      <c r="I556" s="348"/>
      <c r="J556" s="348"/>
      <c r="K556" s="348"/>
      <c r="L556" s="348"/>
      <c r="M556" s="348"/>
      <c r="N556" s="680" t="s">
        <v>1638</v>
      </c>
      <c r="O556" s="325"/>
      <c r="P556" s="185"/>
      <c r="Q556" s="433"/>
      <c r="R556" s="581" t="s">
        <v>1905</v>
      </c>
      <c r="S556" s="581" t="s">
        <v>324</v>
      </c>
      <c r="AA556" s="1332"/>
    </row>
    <row r="557" spans="6:27" ht="10.5" customHeight="1">
      <c r="F557" s="371"/>
      <c r="G557" s="348"/>
      <c r="H557" s="348"/>
      <c r="I557" s="348"/>
      <c r="J557" s="348"/>
      <c r="K557" s="348"/>
      <c r="L557" s="348"/>
      <c r="M557" s="348"/>
      <c r="N557" s="680" t="s">
        <v>2197</v>
      </c>
      <c r="O557" s="325"/>
      <c r="P557" s="185"/>
      <c r="Q557" s="433"/>
      <c r="R557" s="581" t="s">
        <v>1907</v>
      </c>
      <c r="S557" s="581" t="s">
        <v>1725</v>
      </c>
      <c r="AA557" s="1332"/>
    </row>
    <row r="558" spans="6:27" ht="10.5" customHeight="1">
      <c r="F558" s="371"/>
      <c r="G558" s="348"/>
      <c r="H558" s="348"/>
      <c r="I558" s="348"/>
      <c r="J558" s="348"/>
      <c r="K558" s="348"/>
      <c r="L558" s="348"/>
      <c r="M558" s="348"/>
      <c r="N558" s="680" t="s">
        <v>2199</v>
      </c>
      <c r="O558" s="325"/>
      <c r="P558" s="185"/>
      <c r="Q558" s="433"/>
      <c r="R558" s="581" t="s">
        <v>1909</v>
      </c>
      <c r="S558" s="581" t="s">
        <v>334</v>
      </c>
      <c r="AA558" s="1332"/>
    </row>
    <row r="559" spans="6:27" ht="10.5" customHeight="1">
      <c r="F559" s="371"/>
      <c r="G559" s="348"/>
      <c r="H559" s="348"/>
      <c r="I559" s="348"/>
      <c r="J559" s="348"/>
      <c r="K559" s="348"/>
      <c r="L559" s="348"/>
      <c r="M559" s="348"/>
      <c r="N559" s="680" t="s">
        <v>2201</v>
      </c>
      <c r="O559" s="325"/>
      <c r="P559" s="185"/>
      <c r="Q559" s="433"/>
      <c r="R559" s="682" t="s">
        <v>2678</v>
      </c>
      <c r="S559" s="682" t="s">
        <v>108</v>
      </c>
      <c r="AA559" s="1332"/>
    </row>
    <row r="560" spans="6:27" ht="10.5" customHeight="1">
      <c r="F560" s="371"/>
      <c r="G560" s="348"/>
      <c r="H560" s="348"/>
      <c r="I560" s="348"/>
      <c r="J560" s="348"/>
      <c r="K560" s="348"/>
      <c r="L560" s="348"/>
      <c r="M560" s="348"/>
      <c r="N560" s="680" t="s">
        <v>1495</v>
      </c>
      <c r="O560" s="325"/>
      <c r="P560" s="185"/>
      <c r="Q560" s="433"/>
      <c r="R560" s="581" t="s">
        <v>2020</v>
      </c>
      <c r="S560" s="581" t="s">
        <v>110</v>
      </c>
      <c r="AA560" s="1333"/>
    </row>
    <row r="561" spans="6:27" ht="10.5" customHeight="1">
      <c r="F561" s="371"/>
      <c r="G561" s="348"/>
      <c r="H561" s="348"/>
      <c r="I561" s="348"/>
      <c r="J561" s="348"/>
      <c r="K561" s="348"/>
      <c r="L561" s="348"/>
      <c r="M561" s="348"/>
      <c r="N561" s="680" t="s">
        <v>1497</v>
      </c>
      <c r="O561" s="325"/>
      <c r="P561" s="185"/>
      <c r="Q561" s="433"/>
      <c r="R561" s="581" t="s">
        <v>1878</v>
      </c>
      <c r="S561" s="581" t="s">
        <v>1132</v>
      </c>
      <c r="AA561" s="1332"/>
    </row>
    <row r="562" spans="6:27" ht="10.5" customHeight="1">
      <c r="F562" s="371"/>
      <c r="G562" s="348"/>
      <c r="H562" s="348"/>
      <c r="I562" s="348"/>
      <c r="J562" s="348"/>
      <c r="K562" s="348"/>
      <c r="L562" s="348"/>
      <c r="M562" s="348"/>
      <c r="N562" s="680" t="s">
        <v>1612</v>
      </c>
      <c r="O562" s="325"/>
      <c r="P562" s="185"/>
      <c r="Q562" s="433"/>
      <c r="R562" s="581" t="s">
        <v>2679</v>
      </c>
      <c r="S562" s="581" t="s">
        <v>1369</v>
      </c>
      <c r="AA562" s="1332"/>
    </row>
    <row r="563" spans="6:27" ht="10.5" customHeight="1">
      <c r="F563" s="371"/>
      <c r="G563" s="348"/>
      <c r="H563" s="348"/>
      <c r="I563" s="348"/>
      <c r="J563" s="348"/>
      <c r="K563" s="348"/>
      <c r="L563" s="348"/>
      <c r="M563" s="348"/>
      <c r="N563" s="680" t="s">
        <v>1614</v>
      </c>
      <c r="O563" s="325"/>
      <c r="P563" s="185"/>
      <c r="Q563" s="433"/>
      <c r="R563" s="581" t="s">
        <v>1702</v>
      </c>
      <c r="S563" s="581" t="s">
        <v>2247</v>
      </c>
      <c r="AA563" s="1332"/>
    </row>
    <row r="564" spans="6:27" ht="10.5" customHeight="1">
      <c r="F564" s="371"/>
      <c r="G564" s="348"/>
      <c r="H564" s="348"/>
      <c r="I564" s="348"/>
      <c r="J564" s="348"/>
      <c r="K564" s="348"/>
      <c r="L564" s="348"/>
      <c r="M564" s="348"/>
      <c r="N564" s="680" t="s">
        <v>2129</v>
      </c>
      <c r="O564" s="325"/>
      <c r="P564" s="185"/>
      <c r="Q564" s="433"/>
      <c r="R564" s="581" t="s">
        <v>863</v>
      </c>
      <c r="S564" s="581" t="s">
        <v>2254</v>
      </c>
      <c r="AA564" s="1332"/>
    </row>
    <row r="565" spans="6:27" ht="10.5" customHeight="1">
      <c r="F565" s="371"/>
      <c r="G565" s="348"/>
      <c r="H565" s="348"/>
      <c r="I565" s="348"/>
      <c r="J565" s="348"/>
      <c r="K565" s="348"/>
      <c r="L565" s="348"/>
      <c r="M565" s="348"/>
      <c r="N565" s="680" t="s">
        <v>1943</v>
      </c>
      <c r="O565" s="325"/>
      <c r="P565" s="185"/>
      <c r="Q565" s="433"/>
      <c r="R565" s="581" t="s">
        <v>2352</v>
      </c>
      <c r="S565" s="581" t="s">
        <v>1727</v>
      </c>
      <c r="AA565" s="1332"/>
    </row>
    <row r="566" spans="6:27" ht="10.5" customHeight="1">
      <c r="F566" s="371"/>
      <c r="G566" s="348"/>
      <c r="H566" s="348"/>
      <c r="I566" s="348"/>
      <c r="J566" s="348"/>
      <c r="K566" s="348"/>
      <c r="L566" s="348"/>
      <c r="M566" s="348"/>
      <c r="N566" s="680" t="s">
        <v>289</v>
      </c>
      <c r="O566" s="325"/>
      <c r="P566" s="185"/>
      <c r="Q566" s="433"/>
      <c r="R566" s="581" t="s">
        <v>2354</v>
      </c>
      <c r="S566" s="581" t="s">
        <v>2251</v>
      </c>
      <c r="AA566" s="1332"/>
    </row>
    <row r="567" spans="6:27" ht="10.5" customHeight="1">
      <c r="F567" s="371"/>
      <c r="G567" s="348"/>
      <c r="H567" s="348"/>
      <c r="I567" s="348"/>
      <c r="J567" s="348"/>
      <c r="K567" s="348"/>
      <c r="L567" s="348"/>
      <c r="M567" s="348"/>
      <c r="N567" s="680" t="s">
        <v>1748</v>
      </c>
      <c r="O567" s="325"/>
      <c r="P567" s="185"/>
      <c r="Q567" s="433"/>
      <c r="R567" s="581" t="s">
        <v>579</v>
      </c>
      <c r="S567" s="581" t="s">
        <v>2677</v>
      </c>
      <c r="AA567" s="1332"/>
    </row>
    <row r="568" spans="6:27" ht="10.5" customHeight="1">
      <c r="F568" s="371"/>
      <c r="G568" s="348"/>
      <c r="H568" s="348"/>
      <c r="I568" s="348"/>
      <c r="J568" s="348"/>
      <c r="K568" s="348"/>
      <c r="L568" s="348"/>
      <c r="M568" s="348"/>
      <c r="N568" s="680" t="s">
        <v>273</v>
      </c>
      <c r="O568" s="325"/>
      <c r="P568" s="185"/>
      <c r="Q568" s="433"/>
      <c r="R568" s="581" t="s">
        <v>581</v>
      </c>
      <c r="S568" s="581" t="s">
        <v>1252</v>
      </c>
      <c r="AA568" s="1332"/>
    </row>
    <row r="569" spans="6:27" ht="10.5" customHeight="1">
      <c r="F569" s="371"/>
      <c r="G569" s="348"/>
      <c r="H569" s="348"/>
      <c r="I569" s="348"/>
      <c r="J569" s="348"/>
      <c r="K569" s="348"/>
      <c r="L569" s="348"/>
      <c r="M569" s="348"/>
      <c r="N569" s="680" t="s">
        <v>287</v>
      </c>
      <c r="O569" s="325"/>
      <c r="P569" s="185"/>
      <c r="Q569" s="433"/>
      <c r="R569" s="581" t="s">
        <v>1101</v>
      </c>
      <c r="S569" s="581" t="s">
        <v>652</v>
      </c>
      <c r="AA569" s="1332"/>
    </row>
    <row r="570" spans="6:27" ht="10.5" customHeight="1">
      <c r="F570" s="371"/>
      <c r="G570" s="348"/>
      <c r="H570" s="348"/>
      <c r="I570" s="348"/>
      <c r="J570" s="348"/>
      <c r="K570" s="348"/>
      <c r="L570" s="348"/>
      <c r="M570" s="348"/>
      <c r="N570" s="680" t="s">
        <v>1227</v>
      </c>
      <c r="O570" s="325"/>
      <c r="P570" s="185"/>
      <c r="Q570" s="433"/>
      <c r="R570" s="581" t="s">
        <v>583</v>
      </c>
      <c r="S570" s="581" t="s">
        <v>1724</v>
      </c>
      <c r="AA570" s="1332"/>
    </row>
    <row r="571" spans="6:27" ht="10.5" customHeight="1">
      <c r="F571" s="371"/>
      <c r="G571" s="348"/>
      <c r="H571" s="348"/>
      <c r="I571" s="348"/>
      <c r="J571" s="348"/>
      <c r="K571" s="348"/>
      <c r="L571" s="348"/>
      <c r="M571" s="348"/>
      <c r="N571" s="680" t="s">
        <v>773</v>
      </c>
      <c r="O571" s="325"/>
      <c r="P571" s="185"/>
      <c r="Q571" s="433"/>
      <c r="R571" s="581" t="s">
        <v>1221</v>
      </c>
      <c r="S571" s="581" t="s">
        <v>1132</v>
      </c>
      <c r="AA571" s="1332"/>
    </row>
    <row r="572" spans="6:27" ht="10.5" customHeight="1">
      <c r="F572" s="371"/>
      <c r="G572" s="348"/>
      <c r="H572" s="348"/>
      <c r="I572" s="348"/>
      <c r="J572" s="348"/>
      <c r="K572" s="348"/>
      <c r="L572" s="348"/>
      <c r="M572" s="348"/>
      <c r="N572" s="680" t="s">
        <v>775</v>
      </c>
      <c r="O572" s="325"/>
      <c r="P572" s="185"/>
      <c r="Q572" s="433"/>
      <c r="R572" s="581" t="s">
        <v>1504</v>
      </c>
      <c r="S572" s="581" t="s">
        <v>1725</v>
      </c>
      <c r="AA572" s="1332"/>
    </row>
    <row r="573" spans="6:27" ht="10.5" customHeight="1">
      <c r="F573" s="371"/>
      <c r="G573" s="348"/>
      <c r="H573" s="348"/>
      <c r="I573" s="348"/>
      <c r="J573" s="348"/>
      <c r="K573" s="348"/>
      <c r="L573" s="348"/>
      <c r="M573" s="348"/>
      <c r="N573" s="680" t="s">
        <v>1064</v>
      </c>
      <c r="O573" s="325"/>
      <c r="P573" s="185"/>
      <c r="Q573" s="433"/>
      <c r="R573" s="581" t="s">
        <v>3007</v>
      </c>
      <c r="S573" s="581" t="s">
        <v>1368</v>
      </c>
      <c r="AA573" s="1332"/>
    </row>
    <row r="574" spans="6:27" ht="10.5" customHeight="1">
      <c r="F574" s="371"/>
      <c r="G574" s="348"/>
      <c r="H574" s="348"/>
      <c r="I574" s="348"/>
      <c r="J574" s="348"/>
      <c r="K574" s="348"/>
      <c r="L574" s="348"/>
      <c r="M574" s="348"/>
      <c r="N574" s="680" t="s">
        <v>1066</v>
      </c>
      <c r="O574" s="325"/>
      <c r="P574" s="185"/>
      <c r="Q574" s="433"/>
      <c r="R574" s="581" t="s">
        <v>1507</v>
      </c>
      <c r="S574" s="581" t="s">
        <v>683</v>
      </c>
      <c r="AA574" s="1332"/>
    </row>
    <row r="575" spans="6:27" ht="10.5" customHeight="1">
      <c r="F575" s="371"/>
      <c r="G575" s="348"/>
      <c r="H575" s="348"/>
      <c r="I575" s="348"/>
      <c r="J575" s="348"/>
      <c r="K575" s="348"/>
      <c r="L575" s="348"/>
      <c r="M575" s="348"/>
      <c r="N575" s="680" t="s">
        <v>1882</v>
      </c>
      <c r="O575" s="325"/>
      <c r="P575" s="185"/>
      <c r="Q575" s="433"/>
      <c r="R575" s="682" t="s">
        <v>3008</v>
      </c>
      <c r="S575" s="682" t="s">
        <v>123</v>
      </c>
      <c r="AA575" s="1332"/>
    </row>
    <row r="576" spans="6:27" ht="10.5" customHeight="1">
      <c r="F576" s="371"/>
      <c r="G576" s="348"/>
      <c r="H576" s="348"/>
      <c r="I576" s="348"/>
      <c r="J576" s="348"/>
      <c r="K576" s="348"/>
      <c r="L576" s="348"/>
      <c r="M576" s="348"/>
      <c r="N576" s="680" t="s">
        <v>1884</v>
      </c>
      <c r="O576" s="325"/>
      <c r="P576" s="185"/>
      <c r="Q576" s="433"/>
      <c r="R576" s="581" t="s">
        <v>1639</v>
      </c>
      <c r="S576" s="581" t="s">
        <v>1843</v>
      </c>
      <c r="AA576" s="1333"/>
    </row>
    <row r="577" spans="6:27" ht="10.5" customHeight="1">
      <c r="F577" s="371"/>
      <c r="G577" s="348"/>
      <c r="H577" s="348"/>
      <c r="I577" s="348"/>
      <c r="J577" s="348"/>
      <c r="K577" s="348"/>
      <c r="L577" s="348"/>
      <c r="M577" s="348"/>
      <c r="N577" s="680" t="s">
        <v>1885</v>
      </c>
      <c r="O577" s="325"/>
      <c r="P577" s="185"/>
      <c r="Q577" s="433"/>
      <c r="R577" s="581" t="s">
        <v>2198</v>
      </c>
      <c r="S577" s="581" t="s">
        <v>1692</v>
      </c>
      <c r="AA577" s="1332"/>
    </row>
    <row r="578" spans="6:27" ht="10.5" customHeight="1">
      <c r="F578" s="371"/>
      <c r="G578" s="348"/>
      <c r="H578" s="348"/>
      <c r="I578" s="348"/>
      <c r="J578" s="348"/>
      <c r="K578" s="348"/>
      <c r="L578" s="348"/>
      <c r="M578" s="348"/>
      <c r="N578" s="680" t="s">
        <v>1176</v>
      </c>
      <c r="O578" s="325"/>
      <c r="P578" s="185"/>
      <c r="Q578" s="433"/>
      <c r="R578" s="682" t="s">
        <v>2200</v>
      </c>
      <c r="S578" s="682" t="s">
        <v>1374</v>
      </c>
      <c r="AA578" s="1332"/>
    </row>
    <row r="579" spans="6:27" ht="10.5" customHeight="1">
      <c r="F579" s="371"/>
      <c r="G579" s="348"/>
      <c r="H579" s="348"/>
      <c r="I579" s="348"/>
      <c r="J579" s="348"/>
      <c r="K579" s="348"/>
      <c r="L579" s="348"/>
      <c r="M579" s="348"/>
      <c r="N579" s="680" t="s">
        <v>415</v>
      </c>
      <c r="O579" s="325"/>
      <c r="P579" s="185"/>
      <c r="Q579" s="433"/>
      <c r="R579" s="581" t="s">
        <v>1494</v>
      </c>
      <c r="S579" s="581" t="s">
        <v>336</v>
      </c>
      <c r="AA579" s="1333"/>
    </row>
    <row r="580" spans="6:27" ht="10.5" customHeight="1">
      <c r="F580" s="371"/>
      <c r="G580" s="348"/>
      <c r="H580" s="348"/>
      <c r="I580" s="348"/>
      <c r="J580" s="348"/>
      <c r="K580" s="348"/>
      <c r="L580" s="348"/>
      <c r="M580" s="348"/>
      <c r="N580" s="680" t="s">
        <v>4</v>
      </c>
      <c r="O580" s="325"/>
      <c r="P580" s="185"/>
      <c r="Q580" s="433"/>
      <c r="R580" s="581" t="s">
        <v>3009</v>
      </c>
      <c r="S580" s="581" t="s">
        <v>343</v>
      </c>
      <c r="AA580" s="1332"/>
    </row>
    <row r="581" spans="6:27" ht="10.5" customHeight="1">
      <c r="F581" s="371"/>
      <c r="G581" s="348"/>
      <c r="H581" s="348"/>
      <c r="I581" s="348"/>
      <c r="J581" s="348"/>
      <c r="K581" s="348"/>
      <c r="L581" s="348"/>
      <c r="M581" s="348"/>
      <c r="N581" s="680" t="s">
        <v>6</v>
      </c>
      <c r="O581" s="325"/>
      <c r="P581" s="185"/>
      <c r="Q581" s="433"/>
      <c r="R581" s="581" t="s">
        <v>1496</v>
      </c>
      <c r="S581" s="581" t="s">
        <v>333</v>
      </c>
      <c r="AA581" s="1332"/>
    </row>
    <row r="582" spans="6:27" ht="10.5" customHeight="1">
      <c r="F582" s="371"/>
      <c r="G582" s="348"/>
      <c r="H582" s="348"/>
      <c r="I582" s="348"/>
      <c r="J582" s="348"/>
      <c r="K582" s="348"/>
      <c r="L582" s="348"/>
      <c r="M582" s="348"/>
      <c r="N582" s="680" t="s">
        <v>8</v>
      </c>
      <c r="O582" s="325"/>
      <c r="P582" s="185"/>
      <c r="Q582" s="433"/>
      <c r="R582" s="682" t="s">
        <v>1102</v>
      </c>
      <c r="S582" s="682" t="s">
        <v>1727</v>
      </c>
      <c r="AA582" s="1332"/>
    </row>
    <row r="583" spans="6:27" ht="10.5" customHeight="1">
      <c r="F583" s="371"/>
      <c r="G583" s="348"/>
      <c r="H583" s="348"/>
      <c r="I583" s="348"/>
      <c r="J583" s="348"/>
      <c r="K583" s="348"/>
      <c r="L583" s="348"/>
      <c r="M583" s="348"/>
      <c r="N583" s="680" t="s">
        <v>10</v>
      </c>
      <c r="O583" s="325"/>
      <c r="P583" s="185"/>
      <c r="Q583" s="433"/>
      <c r="R583" s="682" t="s">
        <v>1498</v>
      </c>
      <c r="S583" s="682" t="s">
        <v>652</v>
      </c>
      <c r="AA583" s="1333"/>
    </row>
    <row r="584" spans="6:27" ht="10.5" customHeight="1">
      <c r="F584" s="371"/>
      <c r="G584" s="348"/>
      <c r="H584" s="348"/>
      <c r="I584" s="348"/>
      <c r="J584" s="348"/>
      <c r="K584" s="348"/>
      <c r="L584" s="348"/>
      <c r="M584" s="348"/>
      <c r="N584" s="680" t="s">
        <v>2221</v>
      </c>
      <c r="O584" s="325"/>
      <c r="P584" s="185"/>
      <c r="Q584" s="433"/>
      <c r="R584" s="581" t="s">
        <v>1613</v>
      </c>
      <c r="S584" s="581" t="s">
        <v>328</v>
      </c>
      <c r="AA584" s="1333"/>
    </row>
    <row r="585" spans="6:27" ht="10.5" customHeight="1">
      <c r="F585" s="371"/>
      <c r="G585" s="348"/>
      <c r="H585" s="348"/>
      <c r="I585" s="348"/>
      <c r="J585" s="348"/>
      <c r="K585" s="348"/>
      <c r="L585" s="348"/>
      <c r="M585" s="348"/>
      <c r="N585" s="680" t="s">
        <v>2223</v>
      </c>
      <c r="O585" s="325"/>
      <c r="P585" s="185"/>
      <c r="Q585" s="433"/>
      <c r="R585" s="581" t="s">
        <v>2130</v>
      </c>
      <c r="S585" s="581" t="s">
        <v>987</v>
      </c>
      <c r="AA585" s="1332"/>
    </row>
    <row r="586" spans="6:27" ht="10.5" customHeight="1">
      <c r="F586" s="371"/>
      <c r="G586" s="348"/>
      <c r="H586" s="348"/>
      <c r="I586" s="348"/>
      <c r="J586" s="348"/>
      <c r="K586" s="348"/>
      <c r="L586" s="348"/>
      <c r="M586" s="348"/>
      <c r="N586" s="680" t="s">
        <v>2225</v>
      </c>
      <c r="O586" s="325"/>
      <c r="P586" s="185"/>
      <c r="Q586" s="433"/>
      <c r="R586" s="581" t="s">
        <v>1944</v>
      </c>
      <c r="S586" s="581" t="s">
        <v>2025</v>
      </c>
      <c r="AA586" s="1332"/>
    </row>
    <row r="587" spans="6:27" ht="10.5" customHeight="1">
      <c r="F587" s="371"/>
      <c r="G587" s="348"/>
      <c r="H587" s="348"/>
      <c r="I587" s="348"/>
      <c r="J587" s="348"/>
      <c r="K587" s="348"/>
      <c r="L587" s="348"/>
      <c r="M587" s="348"/>
      <c r="N587" s="680" t="s">
        <v>2227</v>
      </c>
      <c r="O587" s="325"/>
      <c r="P587" s="185"/>
      <c r="Q587" s="433"/>
      <c r="R587" s="581" t="s">
        <v>290</v>
      </c>
      <c r="S587" s="581" t="s">
        <v>2025</v>
      </c>
      <c r="AA587" s="1332"/>
    </row>
    <row r="588" spans="6:27" ht="10.5" customHeight="1">
      <c r="F588" s="371"/>
      <c r="G588" s="348"/>
      <c r="H588" s="348"/>
      <c r="I588" s="348"/>
      <c r="J588" s="348"/>
      <c r="K588" s="348"/>
      <c r="L588" s="348"/>
      <c r="M588" s="348"/>
      <c r="N588" s="680" t="s">
        <v>2229</v>
      </c>
      <c r="O588" s="325"/>
      <c r="P588" s="185"/>
      <c r="Q588" s="433"/>
      <c r="R588" s="581" t="s">
        <v>1749</v>
      </c>
      <c r="S588" s="581" t="s">
        <v>2256</v>
      </c>
      <c r="AA588" s="1332"/>
    </row>
    <row r="589" spans="6:27" ht="10.5" customHeight="1">
      <c r="F589" s="371"/>
      <c r="G589" s="348"/>
      <c r="H589" s="348"/>
      <c r="I589" s="348"/>
      <c r="J589" s="348"/>
      <c r="K589" s="348"/>
      <c r="L589" s="348"/>
      <c r="M589" s="348"/>
      <c r="N589" s="680" t="s">
        <v>90</v>
      </c>
      <c r="O589" s="325"/>
      <c r="P589" s="185"/>
      <c r="Q589" s="433"/>
      <c r="R589" s="581" t="s">
        <v>274</v>
      </c>
      <c r="S589" s="581" t="s">
        <v>693</v>
      </c>
      <c r="AA589" s="1332"/>
    </row>
    <row r="590" spans="6:27" ht="10.5" customHeight="1">
      <c r="F590" s="371"/>
      <c r="G590" s="348"/>
      <c r="H590" s="348"/>
      <c r="I590" s="348"/>
      <c r="J590" s="348"/>
      <c r="K590" s="348"/>
      <c r="L590" s="348"/>
      <c r="M590" s="348"/>
      <c r="N590" s="680" t="s">
        <v>2093</v>
      </c>
      <c r="O590" s="325"/>
      <c r="P590" s="185"/>
      <c r="Q590" s="433"/>
      <c r="R590" s="581" t="s">
        <v>1226</v>
      </c>
      <c r="S590" s="581" t="s">
        <v>164</v>
      </c>
      <c r="AA590" s="1332"/>
    </row>
    <row r="591" spans="6:27" ht="10.5" customHeight="1">
      <c r="F591" s="371"/>
      <c r="G591" s="348"/>
      <c r="H591" s="348"/>
      <c r="I591" s="348"/>
      <c r="J591" s="348"/>
      <c r="K591" s="348"/>
      <c r="L591" s="348"/>
      <c r="M591" s="348"/>
      <c r="N591" s="680" t="s">
        <v>1571</v>
      </c>
      <c r="O591" s="325"/>
      <c r="P591" s="185"/>
      <c r="Q591" s="433"/>
      <c r="R591" s="581" t="s">
        <v>1228</v>
      </c>
      <c r="S591" s="581" t="s">
        <v>164</v>
      </c>
      <c r="AA591" s="1332"/>
    </row>
    <row r="592" spans="6:27" ht="10.5" customHeight="1">
      <c r="F592" s="371"/>
      <c r="G592" s="348"/>
      <c r="H592" s="348"/>
      <c r="I592" s="348"/>
      <c r="J592" s="348"/>
      <c r="K592" s="348"/>
      <c r="L592" s="348"/>
      <c r="M592" s="348"/>
      <c r="N592" s="680" t="s">
        <v>1573</v>
      </c>
      <c r="O592" s="325"/>
      <c r="P592" s="185"/>
      <c r="Q592" s="433"/>
      <c r="R592" s="581" t="s">
        <v>774</v>
      </c>
      <c r="S592" s="581" t="s">
        <v>1376</v>
      </c>
      <c r="AA592" s="1332"/>
    </row>
    <row r="593" spans="6:27" ht="10.5" customHeight="1">
      <c r="F593" s="371"/>
      <c r="G593" s="348"/>
      <c r="H593" s="348"/>
      <c r="I593" s="348"/>
      <c r="J593" s="348"/>
      <c r="K593" s="348"/>
      <c r="L593" s="348"/>
      <c r="M593" s="348"/>
      <c r="N593" s="680" t="s">
        <v>1575</v>
      </c>
      <c r="O593" s="325"/>
      <c r="P593" s="185"/>
      <c r="Q593" s="433"/>
      <c r="R593" s="581" t="s">
        <v>256</v>
      </c>
      <c r="S593" s="581" t="s">
        <v>2677</v>
      </c>
      <c r="AA593" s="1332"/>
    </row>
    <row r="594" spans="6:27" ht="10.5" customHeight="1">
      <c r="F594" s="371"/>
      <c r="G594" s="348"/>
      <c r="H594" s="348"/>
      <c r="I594" s="348"/>
      <c r="J594" s="348"/>
      <c r="K594" s="348"/>
      <c r="L594" s="348"/>
      <c r="M594" s="348"/>
      <c r="N594" s="680" t="s">
        <v>64</v>
      </c>
      <c r="O594" s="325"/>
      <c r="P594" s="185"/>
      <c r="Q594" s="433"/>
      <c r="R594" s="581" t="s">
        <v>1065</v>
      </c>
      <c r="S594" s="581" t="s">
        <v>2486</v>
      </c>
      <c r="AA594" s="1332"/>
    </row>
    <row r="595" spans="6:27" ht="10.5" customHeight="1">
      <c r="F595" s="371"/>
      <c r="G595" s="348"/>
      <c r="H595" s="348"/>
      <c r="I595" s="348"/>
      <c r="J595" s="348"/>
      <c r="K595" s="348"/>
      <c r="L595" s="348"/>
      <c r="M595" s="348"/>
      <c r="N595" s="680" t="s">
        <v>66</v>
      </c>
      <c r="O595" s="325"/>
      <c r="P595" s="185"/>
      <c r="Q595" s="433"/>
      <c r="R595" s="581" t="s">
        <v>1816</v>
      </c>
      <c r="S595" s="581" t="s">
        <v>2572</v>
      </c>
      <c r="AA595" s="1332"/>
    </row>
    <row r="596" spans="6:27" ht="10.5" customHeight="1">
      <c r="F596" s="371"/>
      <c r="G596" s="348"/>
      <c r="H596" s="348"/>
      <c r="I596" s="348"/>
      <c r="J596" s="348"/>
      <c r="K596" s="348"/>
      <c r="L596" s="348"/>
      <c r="M596" s="348"/>
      <c r="N596" s="680" t="s">
        <v>68</v>
      </c>
      <c r="O596" s="325"/>
      <c r="P596" s="185"/>
      <c r="Q596" s="433"/>
      <c r="R596" s="581" t="s">
        <v>1883</v>
      </c>
      <c r="S596" s="581" t="s">
        <v>112</v>
      </c>
      <c r="AA596" s="1332"/>
    </row>
    <row r="597" spans="6:27" ht="10.5" customHeight="1">
      <c r="F597" s="371"/>
      <c r="G597" s="348"/>
      <c r="H597" s="348"/>
      <c r="I597" s="348"/>
      <c r="J597" s="348"/>
      <c r="K597" s="348"/>
      <c r="L597" s="348"/>
      <c r="M597" s="348"/>
      <c r="N597" s="680" t="s">
        <v>70</v>
      </c>
      <c r="O597" s="325"/>
      <c r="P597" s="185"/>
      <c r="Q597" s="433"/>
      <c r="R597" s="581" t="s">
        <v>1137</v>
      </c>
      <c r="S597" s="581" t="s">
        <v>761</v>
      </c>
      <c r="AA597" s="1332"/>
    </row>
    <row r="598" spans="6:27" ht="10.5" customHeight="1">
      <c r="F598" s="371"/>
      <c r="G598" s="348"/>
      <c r="H598" s="348"/>
      <c r="I598" s="348"/>
      <c r="J598" s="348"/>
      <c r="K598" s="348"/>
      <c r="L598" s="348"/>
      <c r="M598" s="348"/>
      <c r="N598" s="680" t="s">
        <v>72</v>
      </c>
      <c r="O598" s="325"/>
      <c r="P598" s="185"/>
      <c r="Q598" s="433"/>
      <c r="R598" s="581" t="s">
        <v>1103</v>
      </c>
      <c r="S598" s="581" t="s">
        <v>989</v>
      </c>
      <c r="AA598" s="1332"/>
    </row>
    <row r="599" spans="6:27" ht="10.5" customHeight="1">
      <c r="F599" s="371"/>
      <c r="G599" s="348"/>
      <c r="H599" s="348"/>
      <c r="I599" s="348"/>
      <c r="J599" s="348"/>
      <c r="K599" s="348"/>
      <c r="L599" s="348"/>
      <c r="M599" s="348"/>
      <c r="N599" s="680" t="s">
        <v>807</v>
      </c>
      <c r="O599" s="325"/>
      <c r="P599" s="185"/>
      <c r="Q599" s="433"/>
      <c r="R599" s="581" t="s">
        <v>1141</v>
      </c>
      <c r="S599" s="581" t="s">
        <v>1373</v>
      </c>
      <c r="AA599" s="1332"/>
    </row>
    <row r="600" spans="6:27" ht="10.5" customHeight="1">
      <c r="F600" s="371"/>
      <c r="G600" s="348"/>
      <c r="H600" s="348"/>
      <c r="I600" s="348"/>
      <c r="J600" s="348"/>
      <c r="K600" s="348"/>
      <c r="L600" s="348"/>
      <c r="M600" s="348"/>
      <c r="N600" s="680" t="s">
        <v>757</v>
      </c>
      <c r="O600" s="325"/>
      <c r="P600" s="185"/>
      <c r="Q600" s="433"/>
      <c r="R600" s="581" t="s">
        <v>416</v>
      </c>
      <c r="S600" s="581" t="s">
        <v>693</v>
      </c>
      <c r="AA600" s="1332"/>
    </row>
    <row r="601" spans="6:27" ht="10.5" customHeight="1">
      <c r="F601" s="371"/>
      <c r="G601" s="348"/>
      <c r="H601" s="348"/>
      <c r="I601" s="348"/>
      <c r="J601" s="348"/>
      <c r="K601" s="348"/>
      <c r="L601" s="348"/>
      <c r="M601" s="348"/>
      <c r="N601" s="680" t="s">
        <v>759</v>
      </c>
      <c r="O601" s="325"/>
      <c r="P601" s="185"/>
      <c r="Q601" s="433"/>
      <c r="R601" s="682" t="s">
        <v>1104</v>
      </c>
      <c r="S601" s="682" t="s">
        <v>124</v>
      </c>
      <c r="AA601" s="1332"/>
    </row>
    <row r="602" spans="6:27" ht="10.5" customHeight="1">
      <c r="F602" s="371"/>
      <c r="G602" s="348"/>
      <c r="H602" s="348"/>
      <c r="I602" s="348"/>
      <c r="J602" s="348"/>
      <c r="K602" s="348"/>
      <c r="L602" s="348"/>
      <c r="M602" s="348"/>
      <c r="N602" s="680" t="s">
        <v>1222</v>
      </c>
      <c r="O602" s="325"/>
      <c r="P602" s="185"/>
      <c r="Q602" s="433"/>
      <c r="R602" s="581" t="s">
        <v>5</v>
      </c>
      <c r="S602" s="581" t="s">
        <v>1366</v>
      </c>
      <c r="AA602" s="1333"/>
    </row>
    <row r="603" spans="6:27" ht="10.5" customHeight="1">
      <c r="F603" s="371"/>
      <c r="G603" s="348"/>
      <c r="H603" s="348"/>
      <c r="I603" s="348"/>
      <c r="J603" s="348"/>
      <c r="K603" s="348"/>
      <c r="L603" s="348"/>
      <c r="M603" s="348"/>
      <c r="N603" s="680" t="s">
        <v>1078</v>
      </c>
      <c r="O603" s="325"/>
      <c r="P603" s="185"/>
      <c r="Q603" s="433"/>
      <c r="R603" s="581" t="s">
        <v>7</v>
      </c>
      <c r="S603" s="581" t="s">
        <v>2482</v>
      </c>
      <c r="AA603" s="1332"/>
    </row>
    <row r="604" spans="6:27" ht="10.5" customHeight="1">
      <c r="F604" s="371"/>
      <c r="G604" s="348"/>
      <c r="H604" s="348"/>
      <c r="I604" s="348"/>
      <c r="J604" s="348"/>
      <c r="K604" s="348"/>
      <c r="L604" s="348"/>
      <c r="M604" s="348"/>
      <c r="N604" s="680" t="s">
        <v>1079</v>
      </c>
      <c r="O604" s="325"/>
      <c r="P604" s="185"/>
      <c r="Q604" s="433"/>
      <c r="R604" s="581" t="s">
        <v>9</v>
      </c>
      <c r="S604" s="581" t="s">
        <v>1991</v>
      </c>
      <c r="AA604" s="1332"/>
    </row>
    <row r="605" spans="6:27" ht="10.5" customHeight="1">
      <c r="F605" s="371"/>
      <c r="G605" s="348"/>
      <c r="H605" s="348"/>
      <c r="I605" s="348"/>
      <c r="J605" s="348"/>
      <c r="K605" s="348"/>
      <c r="L605" s="348"/>
      <c r="M605" s="348"/>
      <c r="N605" s="680" t="s">
        <v>1081</v>
      </c>
      <c r="O605" s="325"/>
      <c r="P605" s="185"/>
      <c r="Q605" s="433"/>
      <c r="R605" s="581" t="s">
        <v>1105</v>
      </c>
      <c r="S605" s="581" t="s">
        <v>652</v>
      </c>
      <c r="AA605" s="1332"/>
    </row>
    <row r="606" spans="6:27" ht="10.5" customHeight="1">
      <c r="F606" s="371"/>
      <c r="G606" s="348"/>
      <c r="H606" s="348"/>
      <c r="I606" s="348"/>
      <c r="J606" s="348"/>
      <c r="K606" s="348"/>
      <c r="L606" s="348"/>
      <c r="M606" s="348"/>
      <c r="N606" s="680" t="s">
        <v>2345</v>
      </c>
      <c r="O606" s="325"/>
      <c r="P606" s="185"/>
      <c r="Q606" s="433"/>
      <c r="R606" s="581" t="s">
        <v>1106</v>
      </c>
      <c r="S606" s="581" t="s">
        <v>329</v>
      </c>
      <c r="AA606" s="1332"/>
    </row>
    <row r="607" spans="6:27" ht="10.5" customHeight="1">
      <c r="F607" s="371"/>
      <c r="G607" s="348"/>
      <c r="H607" s="348"/>
      <c r="I607" s="348"/>
      <c r="J607" s="348"/>
      <c r="K607" s="348"/>
      <c r="L607" s="348"/>
      <c r="M607" s="348"/>
      <c r="N607" s="680" t="s">
        <v>2347</v>
      </c>
      <c r="O607" s="325"/>
      <c r="P607" s="185"/>
      <c r="Q607" s="433"/>
      <c r="R607" s="581" t="s">
        <v>2220</v>
      </c>
      <c r="S607" s="581" t="s">
        <v>1376</v>
      </c>
      <c r="AA607" s="1332"/>
    </row>
    <row r="608" spans="6:27" ht="10.5" customHeight="1">
      <c r="F608" s="371"/>
      <c r="G608" s="348"/>
      <c r="H608" s="348"/>
      <c r="I608" s="348"/>
      <c r="J608" s="348"/>
      <c r="K608" s="348"/>
      <c r="L608" s="348"/>
      <c r="M608" s="348"/>
      <c r="N608" s="680" t="s">
        <v>1835</v>
      </c>
      <c r="O608" s="325"/>
      <c r="P608" s="185"/>
      <c r="Q608" s="433"/>
      <c r="R608" s="581" t="s">
        <v>2222</v>
      </c>
      <c r="S608" s="581" t="s">
        <v>2262</v>
      </c>
      <c r="AA608" s="1332"/>
    </row>
    <row r="609" spans="6:27" ht="10.5" customHeight="1">
      <c r="F609" s="371"/>
      <c r="G609" s="348"/>
      <c r="H609" s="348"/>
      <c r="I609" s="348"/>
      <c r="J609" s="348"/>
      <c r="K609" s="348"/>
      <c r="L609" s="348"/>
      <c r="M609" s="348"/>
      <c r="N609" s="680" t="s">
        <v>2607</v>
      </c>
      <c r="O609" s="325"/>
      <c r="P609" s="185"/>
      <c r="Q609" s="433"/>
      <c r="R609" s="581" t="s">
        <v>2224</v>
      </c>
      <c r="S609" s="581" t="s">
        <v>180</v>
      </c>
      <c r="AA609" s="1332"/>
    </row>
    <row r="610" spans="6:27" ht="10.5" customHeight="1">
      <c r="F610" s="371"/>
      <c r="G610" s="348"/>
      <c r="H610" s="348"/>
      <c r="I610" s="348"/>
      <c r="J610" s="348"/>
      <c r="K610" s="348"/>
      <c r="L610" s="348"/>
      <c r="M610" s="348"/>
      <c r="N610" s="680" t="s">
        <v>2241</v>
      </c>
      <c r="O610" s="325"/>
      <c r="P610" s="185"/>
      <c r="Q610" s="433"/>
      <c r="R610" s="581" t="s">
        <v>2226</v>
      </c>
      <c r="S610" s="581" t="s">
        <v>1509</v>
      </c>
      <c r="AA610" s="1332"/>
    </row>
    <row r="611" spans="6:27" ht="10.5" customHeight="1">
      <c r="F611" s="371"/>
      <c r="G611" s="348"/>
      <c r="H611" s="348"/>
      <c r="I611" s="348"/>
      <c r="J611" s="348"/>
      <c r="K611" s="348"/>
      <c r="L611" s="348"/>
      <c r="M611" s="348"/>
      <c r="N611" s="680" t="s">
        <v>1670</v>
      </c>
      <c r="O611" s="325"/>
      <c r="P611" s="185"/>
      <c r="Q611" s="433"/>
      <c r="R611" s="682" t="s">
        <v>2228</v>
      </c>
      <c r="S611" s="682" t="s">
        <v>693</v>
      </c>
      <c r="AA611" s="1332"/>
    </row>
    <row r="612" spans="6:27" ht="10.5" customHeight="1">
      <c r="F612" s="371"/>
      <c r="G612" s="348"/>
      <c r="H612" s="348"/>
      <c r="I612" s="348"/>
      <c r="J612" s="348"/>
      <c r="K612" s="348"/>
      <c r="L612" s="348"/>
      <c r="M612" s="348"/>
      <c r="N612" s="680" t="s">
        <v>1671</v>
      </c>
      <c r="O612" s="325"/>
      <c r="P612" s="185"/>
      <c r="Q612" s="433"/>
      <c r="R612" s="581" t="s">
        <v>91</v>
      </c>
      <c r="S612" s="581" t="s">
        <v>123</v>
      </c>
      <c r="AA612" s="1333"/>
    </row>
    <row r="613" spans="6:27" ht="10.5" customHeight="1">
      <c r="F613" s="371"/>
      <c r="G613" s="348"/>
      <c r="H613" s="348"/>
      <c r="I613" s="348"/>
      <c r="J613" s="348"/>
      <c r="K613" s="348"/>
      <c r="L613" s="348"/>
      <c r="M613" s="348"/>
      <c r="N613" s="680" t="s">
        <v>1673</v>
      </c>
      <c r="O613" s="325"/>
      <c r="P613" s="185"/>
      <c r="Q613" s="433"/>
      <c r="R613" s="581" t="s">
        <v>1570</v>
      </c>
      <c r="S613" s="581" t="s">
        <v>2264</v>
      </c>
      <c r="AA613" s="1332"/>
    </row>
    <row r="614" spans="6:27" ht="10.5" customHeight="1">
      <c r="F614" s="371"/>
      <c r="G614" s="348"/>
      <c r="H614" s="348"/>
      <c r="I614" s="348"/>
      <c r="J614" s="348"/>
      <c r="K614" s="348"/>
      <c r="L614" s="348"/>
      <c r="M614" s="348"/>
      <c r="N614" s="680" t="s">
        <v>1674</v>
      </c>
      <c r="O614" s="325"/>
      <c r="P614" s="185"/>
      <c r="Q614" s="433"/>
      <c r="R614" s="682" t="s">
        <v>1572</v>
      </c>
      <c r="S614" s="682" t="s">
        <v>205</v>
      </c>
      <c r="AA614" s="1332"/>
    </row>
    <row r="615" spans="6:27" ht="10.5" customHeight="1">
      <c r="F615" s="371"/>
      <c r="G615" s="348"/>
      <c r="H615" s="348"/>
      <c r="I615" s="348"/>
      <c r="J615" s="348"/>
      <c r="K615" s="348"/>
      <c r="L615" s="348"/>
      <c r="M615" s="348"/>
      <c r="N615" s="680" t="s">
        <v>1676</v>
      </c>
      <c r="O615" s="325"/>
      <c r="P615" s="185"/>
      <c r="Q615" s="433"/>
      <c r="R615" s="581" t="s">
        <v>1574</v>
      </c>
      <c r="S615" s="581" t="s">
        <v>1512</v>
      </c>
      <c r="AA615" s="1333"/>
    </row>
    <row r="616" spans="6:27" ht="10.5" customHeight="1">
      <c r="F616" s="371"/>
      <c r="G616" s="348"/>
      <c r="H616" s="348"/>
      <c r="I616" s="348"/>
      <c r="J616" s="348"/>
      <c r="K616" s="348"/>
      <c r="L616" s="348"/>
      <c r="M616" s="348"/>
      <c r="N616" s="680" t="s">
        <v>1677</v>
      </c>
      <c r="O616" s="325"/>
      <c r="P616" s="185"/>
      <c r="Q616" s="433"/>
      <c r="R616" s="581" t="s">
        <v>1576</v>
      </c>
      <c r="S616" s="581" t="s">
        <v>2254</v>
      </c>
      <c r="AA616" s="1332"/>
    </row>
    <row r="617" spans="6:27" ht="10.5" customHeight="1">
      <c r="F617" s="371"/>
      <c r="G617" s="348"/>
      <c r="H617" s="348"/>
      <c r="I617" s="348"/>
      <c r="J617" s="348"/>
      <c r="K617" s="348"/>
      <c r="L617" s="348"/>
      <c r="M617" s="348"/>
      <c r="N617" s="680" t="s">
        <v>1679</v>
      </c>
      <c r="O617" s="325"/>
      <c r="P617" s="185"/>
      <c r="Q617" s="433"/>
      <c r="R617" s="581" t="s">
        <v>65</v>
      </c>
      <c r="S617" s="581" t="s">
        <v>1374</v>
      </c>
      <c r="AA617" s="1332"/>
    </row>
    <row r="618" spans="6:27" ht="10.5" customHeight="1">
      <c r="F618" s="371"/>
      <c r="G618" s="348"/>
      <c r="H618" s="348"/>
      <c r="I618" s="348"/>
      <c r="J618" s="348"/>
      <c r="K618" s="348"/>
      <c r="L618" s="348"/>
      <c r="M618" s="348"/>
      <c r="N618" s="680" t="s">
        <v>2502</v>
      </c>
      <c r="O618" s="325"/>
      <c r="P618" s="185"/>
      <c r="Q618" s="433"/>
      <c r="R618" s="581" t="s">
        <v>67</v>
      </c>
      <c r="S618" s="581" t="s">
        <v>108</v>
      </c>
      <c r="AA618" s="1332"/>
    </row>
    <row r="619" spans="6:27" ht="10.5" customHeight="1">
      <c r="F619" s="371"/>
      <c r="G619" s="348"/>
      <c r="H619" s="348"/>
      <c r="I619" s="348"/>
      <c r="J619" s="348"/>
      <c r="K619" s="348"/>
      <c r="L619" s="348"/>
      <c r="M619" s="348"/>
      <c r="N619" s="680" t="s">
        <v>172</v>
      </c>
      <c r="O619" s="325"/>
      <c r="P619" s="185"/>
      <c r="Q619" s="433"/>
      <c r="R619" s="581" t="s">
        <v>69</v>
      </c>
      <c r="S619" s="581" t="s">
        <v>910</v>
      </c>
      <c r="AA619" s="1332"/>
    </row>
    <row r="620" spans="6:27" ht="10.5" customHeight="1">
      <c r="F620" s="371"/>
      <c r="G620" s="348"/>
      <c r="H620" s="348"/>
      <c r="I620" s="348"/>
      <c r="J620" s="348"/>
      <c r="K620" s="348"/>
      <c r="L620" s="348"/>
      <c r="M620" s="348"/>
      <c r="N620" s="680" t="s">
        <v>1024</v>
      </c>
      <c r="O620" s="325"/>
      <c r="P620" s="185"/>
      <c r="Q620" s="433"/>
      <c r="R620" s="581" t="s">
        <v>71</v>
      </c>
      <c r="S620" s="581" t="s">
        <v>1577</v>
      </c>
      <c r="AA620" s="1332"/>
    </row>
    <row r="621" spans="6:27" ht="10.5" customHeight="1">
      <c r="F621" s="371"/>
      <c r="G621" s="348"/>
      <c r="H621" s="348"/>
      <c r="I621" s="348"/>
      <c r="J621" s="348"/>
      <c r="K621" s="348"/>
      <c r="L621" s="348"/>
      <c r="M621" s="348"/>
      <c r="N621" s="680" t="s">
        <v>1025</v>
      </c>
      <c r="O621" s="325"/>
      <c r="P621" s="185"/>
      <c r="Q621" s="433"/>
      <c r="R621" s="581" t="s">
        <v>808</v>
      </c>
      <c r="S621" s="581" t="s">
        <v>2569</v>
      </c>
      <c r="AA621" s="1332"/>
    </row>
    <row r="622" spans="6:27" ht="10.5" customHeight="1">
      <c r="F622" s="371"/>
      <c r="G622" s="348"/>
      <c r="H622" s="348"/>
      <c r="I622" s="348"/>
      <c r="J622" s="348"/>
      <c r="K622" s="348"/>
      <c r="L622" s="348"/>
      <c r="M622" s="348"/>
      <c r="N622" s="680" t="s">
        <v>1027</v>
      </c>
      <c r="O622" s="325"/>
      <c r="P622" s="185"/>
      <c r="Q622" s="433"/>
      <c r="R622" s="682" t="s">
        <v>758</v>
      </c>
      <c r="S622" s="682" t="s">
        <v>2575</v>
      </c>
      <c r="AA622" s="1332"/>
    </row>
    <row r="623" spans="6:27" ht="10.5" customHeight="1">
      <c r="F623" s="371"/>
      <c r="G623" s="348"/>
      <c r="H623" s="348"/>
      <c r="I623" s="348"/>
      <c r="J623" s="348"/>
      <c r="K623" s="348"/>
      <c r="L623" s="348"/>
      <c r="M623" s="348"/>
      <c r="N623" s="680" t="s">
        <v>2465</v>
      </c>
      <c r="O623" s="325"/>
      <c r="P623" s="185"/>
      <c r="Q623" s="433"/>
      <c r="R623" s="581" t="s">
        <v>974</v>
      </c>
      <c r="S623" s="581" t="s">
        <v>2620</v>
      </c>
      <c r="AA623" s="1333"/>
    </row>
    <row r="624" spans="6:27" ht="10.5" customHeight="1">
      <c r="F624" s="371"/>
      <c r="G624" s="348"/>
      <c r="H624" s="348"/>
      <c r="I624" s="348"/>
      <c r="J624" s="348"/>
      <c r="K624" s="348"/>
      <c r="L624" s="348"/>
      <c r="M624" s="348"/>
      <c r="N624" s="680" t="s">
        <v>2613</v>
      </c>
      <c r="O624" s="325"/>
      <c r="P624" s="185"/>
      <c r="Q624" s="433"/>
      <c r="R624" s="581" t="s">
        <v>1107</v>
      </c>
      <c r="S624" s="581" t="s">
        <v>333</v>
      </c>
      <c r="AA624" s="1332"/>
    </row>
    <row r="625" spans="6:27" ht="10.5" customHeight="1">
      <c r="F625" s="371"/>
      <c r="G625" s="348"/>
      <c r="H625" s="348"/>
      <c r="I625" s="348"/>
      <c r="J625" s="348"/>
      <c r="K625" s="348"/>
      <c r="L625" s="348"/>
      <c r="M625" s="348"/>
      <c r="N625" s="680" t="s">
        <v>2077</v>
      </c>
      <c r="O625" s="325"/>
      <c r="P625" s="185"/>
      <c r="Q625" s="433"/>
      <c r="R625" s="581" t="s">
        <v>1223</v>
      </c>
      <c r="S625" s="581" t="s">
        <v>2025</v>
      </c>
      <c r="AA625" s="1332"/>
    </row>
    <row r="626" spans="6:27" ht="10.5" customHeight="1">
      <c r="F626" s="371"/>
      <c r="G626" s="348"/>
      <c r="H626" s="348"/>
      <c r="I626" s="348"/>
      <c r="J626" s="348"/>
      <c r="K626" s="348"/>
      <c r="L626" s="348"/>
      <c r="M626" s="348"/>
      <c r="N626" s="680" t="s">
        <v>977</v>
      </c>
      <c r="O626" s="325"/>
      <c r="P626" s="185"/>
      <c r="Q626" s="433"/>
      <c r="R626" s="581" t="s">
        <v>3010</v>
      </c>
      <c r="S626" s="581" t="s">
        <v>1845</v>
      </c>
      <c r="AA626" s="1332"/>
    </row>
    <row r="627" spans="6:27" ht="10.5" customHeight="1">
      <c r="F627" s="371"/>
      <c r="G627" s="348"/>
      <c r="H627" s="348"/>
      <c r="I627" s="348"/>
      <c r="J627" s="348"/>
      <c r="K627" s="348"/>
      <c r="L627" s="348"/>
      <c r="M627" s="348"/>
      <c r="N627" s="680" t="s">
        <v>802</v>
      </c>
      <c r="O627" s="325"/>
      <c r="P627" s="185"/>
      <c r="Q627" s="433"/>
      <c r="R627" s="682" t="s">
        <v>1080</v>
      </c>
      <c r="S627" s="682" t="s">
        <v>1135</v>
      </c>
      <c r="AA627" s="1332"/>
    </row>
    <row r="628" spans="6:27" ht="10.5" customHeight="1">
      <c r="F628" s="371"/>
      <c r="G628" s="348"/>
      <c r="H628" s="348"/>
      <c r="I628" s="348"/>
      <c r="J628" s="348"/>
      <c r="K628" s="348"/>
      <c r="L628" s="348"/>
      <c r="M628" s="348"/>
      <c r="N628" s="680" t="s">
        <v>1524</v>
      </c>
      <c r="O628" s="325"/>
      <c r="P628" s="185"/>
      <c r="Q628" s="433"/>
      <c r="R628" s="581" t="s">
        <v>2346</v>
      </c>
      <c r="S628" s="581" t="s">
        <v>2247</v>
      </c>
      <c r="AA628" s="1333"/>
    </row>
    <row r="629" spans="6:27" ht="10.5" customHeight="1">
      <c r="F629" s="371"/>
      <c r="G629" s="348"/>
      <c r="H629" s="348"/>
      <c r="I629" s="348"/>
      <c r="J629" s="348"/>
      <c r="K629" s="348"/>
      <c r="L629" s="348"/>
      <c r="M629" s="348"/>
      <c r="N629" s="680" t="s">
        <v>1526</v>
      </c>
      <c r="O629" s="325"/>
      <c r="P629" s="185"/>
      <c r="Q629" s="433"/>
      <c r="R629" s="581" t="s">
        <v>2348</v>
      </c>
      <c r="S629" s="581" t="s">
        <v>684</v>
      </c>
      <c r="AA629" s="1332"/>
    </row>
    <row r="630" spans="6:27" ht="10.5" customHeight="1">
      <c r="F630" s="371"/>
      <c r="G630" s="348"/>
      <c r="H630" s="348"/>
      <c r="I630" s="348"/>
      <c r="J630" s="348"/>
      <c r="K630" s="348"/>
      <c r="L630" s="348"/>
      <c r="M630" s="348"/>
      <c r="N630" s="680" t="s">
        <v>1528</v>
      </c>
      <c r="O630" s="325"/>
      <c r="P630" s="185"/>
      <c r="Q630" s="433"/>
      <c r="R630" s="581" t="s">
        <v>1836</v>
      </c>
      <c r="S630" s="581" t="s">
        <v>763</v>
      </c>
      <c r="AA630" s="1332"/>
    </row>
    <row r="631" spans="6:27" ht="10.5" customHeight="1">
      <c r="F631" s="371"/>
      <c r="G631" s="348"/>
      <c r="H631" s="348"/>
      <c r="I631" s="348"/>
      <c r="J631" s="348"/>
      <c r="K631" s="348"/>
      <c r="L631" s="348"/>
      <c r="M631" s="348"/>
      <c r="N631" s="680" t="s">
        <v>1354</v>
      </c>
      <c r="O631" s="325"/>
      <c r="P631" s="185"/>
      <c r="Q631" s="433"/>
      <c r="R631" s="581" t="s">
        <v>2608</v>
      </c>
      <c r="S631" s="581" t="s">
        <v>2083</v>
      </c>
      <c r="AA631" s="1332"/>
    </row>
    <row r="632" spans="6:27" ht="10.5" customHeight="1">
      <c r="F632" s="371"/>
      <c r="G632" s="348"/>
      <c r="H632" s="348"/>
      <c r="I632" s="348"/>
      <c r="J632" s="348"/>
      <c r="K632" s="348"/>
      <c r="L632" s="348"/>
      <c r="M632" s="348"/>
      <c r="N632" s="680" t="s">
        <v>1356</v>
      </c>
      <c r="O632" s="325"/>
      <c r="P632" s="185"/>
      <c r="Q632" s="433"/>
      <c r="R632" s="581" t="s">
        <v>2242</v>
      </c>
      <c r="S632" s="581" t="s">
        <v>1252</v>
      </c>
      <c r="AA632" s="1332"/>
    </row>
    <row r="633" spans="6:27" ht="10.5" customHeight="1">
      <c r="F633" s="371"/>
      <c r="G633" s="348"/>
      <c r="H633" s="348"/>
      <c r="I633" s="348"/>
      <c r="J633" s="348"/>
      <c r="K633" s="348"/>
      <c r="L633" s="348"/>
      <c r="M633" s="348"/>
      <c r="N633" s="680" t="s">
        <v>2067</v>
      </c>
      <c r="O633" s="325"/>
      <c r="P633" s="185"/>
      <c r="Q633" s="433"/>
      <c r="R633" s="682" t="s">
        <v>1672</v>
      </c>
      <c r="S633" s="682" t="s">
        <v>686</v>
      </c>
      <c r="AA633" s="1332"/>
    </row>
    <row r="634" spans="6:27" ht="10.5" customHeight="1">
      <c r="F634" s="371"/>
      <c r="G634" s="348"/>
      <c r="H634" s="348"/>
      <c r="I634" s="348"/>
      <c r="J634" s="348"/>
      <c r="K634" s="348"/>
      <c r="L634" s="348"/>
      <c r="M634" s="348"/>
      <c r="N634" s="680" t="s">
        <v>764</v>
      </c>
      <c r="O634" s="325"/>
      <c r="P634" s="185"/>
      <c r="Q634" s="433"/>
      <c r="R634" s="581" t="s">
        <v>864</v>
      </c>
      <c r="S634" s="581" t="s">
        <v>1362</v>
      </c>
      <c r="AA634" s="1333"/>
    </row>
    <row r="635" spans="6:27" ht="10.5" customHeight="1">
      <c r="F635" s="371"/>
      <c r="G635" s="348"/>
      <c r="H635" s="348"/>
      <c r="I635" s="348"/>
      <c r="J635" s="348"/>
      <c r="K635" s="348"/>
      <c r="L635" s="348"/>
      <c r="M635" s="348"/>
      <c r="N635" s="680" t="s">
        <v>1313</v>
      </c>
      <c r="O635" s="325"/>
      <c r="P635" s="185"/>
      <c r="Q635" s="433"/>
      <c r="R635" s="581" t="s">
        <v>1675</v>
      </c>
      <c r="S635" s="581" t="s">
        <v>2672</v>
      </c>
      <c r="AA635" s="1332"/>
    </row>
    <row r="636" spans="6:27" ht="10.5" customHeight="1">
      <c r="F636" s="371"/>
      <c r="G636" s="348"/>
      <c r="H636" s="348"/>
      <c r="I636" s="348"/>
      <c r="J636" s="348"/>
      <c r="K636" s="348"/>
      <c r="L636" s="348"/>
      <c r="M636" s="348"/>
      <c r="N636" s="680" t="s">
        <v>1956</v>
      </c>
      <c r="O636" s="325"/>
      <c r="P636" s="185"/>
      <c r="Q636" s="433"/>
      <c r="R636" s="581" t="s">
        <v>1678</v>
      </c>
      <c r="S636" s="581" t="s">
        <v>1692</v>
      </c>
      <c r="AA636" s="1332"/>
    </row>
    <row r="637" spans="6:27" ht="10.5" customHeight="1">
      <c r="F637" s="371"/>
      <c r="G637" s="348"/>
      <c r="H637" s="348"/>
      <c r="I637" s="348"/>
      <c r="J637" s="348"/>
      <c r="K637" s="348"/>
      <c r="L637" s="348"/>
      <c r="M637" s="348"/>
      <c r="N637" s="680" t="s">
        <v>1957</v>
      </c>
      <c r="O637" s="325"/>
      <c r="P637" s="185"/>
      <c r="Q637" s="433"/>
      <c r="R637" s="581" t="s">
        <v>1109</v>
      </c>
      <c r="S637" s="581" t="s">
        <v>1577</v>
      </c>
      <c r="AA637" s="1332"/>
    </row>
    <row r="638" spans="6:27" ht="10.5" customHeight="1">
      <c r="F638" s="371"/>
      <c r="G638" s="348"/>
      <c r="H638" s="348"/>
      <c r="I638" s="348"/>
      <c r="J638" s="348"/>
      <c r="K638" s="348"/>
      <c r="L638" s="348"/>
      <c r="M638" s="348"/>
      <c r="N638" s="680" t="s">
        <v>1959</v>
      </c>
      <c r="O638" s="325"/>
      <c r="P638" s="185"/>
      <c r="Q638" s="433"/>
      <c r="R638" s="581" t="s">
        <v>2501</v>
      </c>
      <c r="S638" s="581" t="s">
        <v>108</v>
      </c>
      <c r="AA638" s="1332"/>
    </row>
    <row r="639" spans="6:27" ht="10.5" customHeight="1">
      <c r="F639" s="371"/>
      <c r="G639" s="348"/>
      <c r="H639" s="348"/>
      <c r="I639" s="348"/>
      <c r="J639" s="348"/>
      <c r="K639" s="348"/>
      <c r="L639" s="348"/>
      <c r="M639" s="348"/>
      <c r="N639" s="680" t="s">
        <v>1961</v>
      </c>
      <c r="O639" s="325"/>
      <c r="P639" s="185"/>
      <c r="Q639" s="433"/>
      <c r="R639" s="581" t="s">
        <v>847</v>
      </c>
      <c r="S639" s="581" t="s">
        <v>1252</v>
      </c>
      <c r="AA639" s="1332"/>
    </row>
    <row r="640" spans="6:27" ht="10.5" customHeight="1">
      <c r="F640" s="371"/>
      <c r="G640" s="348"/>
      <c r="H640" s="348"/>
      <c r="I640" s="348"/>
      <c r="J640" s="348"/>
      <c r="K640" s="348"/>
      <c r="L640" s="348"/>
      <c r="M640" s="348"/>
      <c r="N640" s="680" t="s">
        <v>1963</v>
      </c>
      <c r="O640" s="325"/>
      <c r="P640" s="185"/>
      <c r="Q640" s="433"/>
      <c r="R640" s="581" t="s">
        <v>1352</v>
      </c>
      <c r="S640" s="581" t="s">
        <v>1983</v>
      </c>
      <c r="AA640" s="1332"/>
    </row>
    <row r="641" spans="6:27" ht="10.5" customHeight="1">
      <c r="F641" s="371"/>
      <c r="G641" s="348"/>
      <c r="H641" s="348"/>
      <c r="I641" s="348"/>
      <c r="J641" s="348"/>
      <c r="K641" s="348"/>
      <c r="L641" s="348"/>
      <c r="M641" s="348"/>
      <c r="N641" s="680" t="s">
        <v>519</v>
      </c>
      <c r="O641" s="325"/>
      <c r="P641" s="185"/>
      <c r="Q641" s="433"/>
      <c r="R641" s="581" t="s">
        <v>173</v>
      </c>
      <c r="S641" s="581" t="s">
        <v>1378</v>
      </c>
      <c r="AA641" s="1332"/>
    </row>
    <row r="642" spans="6:27" ht="10.5" customHeight="1">
      <c r="F642" s="371"/>
      <c r="G642" s="348"/>
      <c r="H642" s="348"/>
      <c r="I642" s="348"/>
      <c r="J642" s="348"/>
      <c r="K642" s="348"/>
      <c r="L642" s="348"/>
      <c r="M642" s="348"/>
      <c r="N642" s="680" t="s">
        <v>2623</v>
      </c>
      <c r="O642" s="325"/>
      <c r="P642" s="185"/>
      <c r="Q642" s="433"/>
      <c r="R642" s="581" t="s">
        <v>1026</v>
      </c>
      <c r="S642" s="581" t="s">
        <v>1724</v>
      </c>
      <c r="AA642" s="1332"/>
    </row>
    <row r="643" spans="6:27" ht="10.5" customHeight="1">
      <c r="F643" s="371"/>
      <c r="G643" s="348"/>
      <c r="H643" s="348"/>
      <c r="I643" s="348"/>
      <c r="J643" s="348"/>
      <c r="K643" s="348"/>
      <c r="L643" s="348"/>
      <c r="M643" s="348"/>
      <c r="N643" s="680" t="s">
        <v>2625</v>
      </c>
      <c r="O643" s="325"/>
      <c r="P643" s="185"/>
      <c r="Q643" s="433"/>
      <c r="R643" s="581" t="s">
        <v>3011</v>
      </c>
      <c r="S643" s="581" t="s">
        <v>339</v>
      </c>
      <c r="AA643" s="1332"/>
    </row>
    <row r="644" spans="6:27" ht="10.5" customHeight="1">
      <c r="F644" s="371"/>
      <c r="G644" s="348"/>
      <c r="H644" s="348"/>
      <c r="I644" s="348"/>
      <c r="J644" s="348"/>
      <c r="K644" s="348"/>
      <c r="L644" s="348"/>
      <c r="M644" s="348"/>
      <c r="N644" s="680" t="s">
        <v>1196</v>
      </c>
      <c r="O644" s="325"/>
      <c r="P644" s="185"/>
      <c r="Q644" s="433"/>
      <c r="R644" s="682" t="s">
        <v>3012</v>
      </c>
      <c r="S644" s="682" t="s">
        <v>116</v>
      </c>
      <c r="AA644" s="1332"/>
    </row>
    <row r="645" spans="6:27" ht="10.5" customHeight="1">
      <c r="F645" s="371"/>
      <c r="G645" s="348"/>
      <c r="H645" s="348"/>
      <c r="I645" s="348"/>
      <c r="J645" s="348"/>
      <c r="K645" s="348"/>
      <c r="L645" s="348"/>
      <c r="M645" s="348"/>
      <c r="N645" s="680" t="s">
        <v>2603</v>
      </c>
      <c r="O645" s="325"/>
      <c r="P645" s="185"/>
      <c r="Q645" s="433"/>
      <c r="R645" s="581" t="s">
        <v>1375</v>
      </c>
      <c r="S645" s="581" t="s">
        <v>164</v>
      </c>
      <c r="AA645" s="1333"/>
    </row>
    <row r="646" spans="6:27" ht="10.5" customHeight="1">
      <c r="F646" s="371"/>
      <c r="G646" s="348"/>
      <c r="H646" s="348"/>
      <c r="I646" s="348"/>
      <c r="J646" s="348"/>
      <c r="K646" s="348"/>
      <c r="L646" s="348"/>
      <c r="M646" s="348"/>
      <c r="N646" s="680" t="s">
        <v>2605</v>
      </c>
      <c r="O646" s="325"/>
      <c r="P646" s="185"/>
      <c r="Q646" s="433"/>
      <c r="R646" s="581" t="s">
        <v>2614</v>
      </c>
      <c r="S646" s="581" t="s">
        <v>904</v>
      </c>
      <c r="AA646" s="1332"/>
    </row>
    <row r="647" spans="6:27" ht="10.5" customHeight="1">
      <c r="F647" s="371"/>
      <c r="G647" s="348"/>
      <c r="H647" s="348"/>
      <c r="I647" s="348"/>
      <c r="J647" s="348"/>
      <c r="K647" s="348"/>
      <c r="L647" s="348"/>
      <c r="M647" s="348"/>
      <c r="N647" s="680" t="s">
        <v>1588</v>
      </c>
      <c r="O647" s="325"/>
      <c r="P647" s="185"/>
      <c r="Q647" s="433"/>
      <c r="R647" s="581" t="s">
        <v>1110</v>
      </c>
      <c r="S647" s="581" t="s">
        <v>652</v>
      </c>
      <c r="AA647" s="1332"/>
    </row>
    <row r="648" spans="6:27" ht="10.5" customHeight="1">
      <c r="F648" s="371"/>
      <c r="G648" s="348"/>
      <c r="H648" s="348"/>
      <c r="I648" s="348"/>
      <c r="J648" s="348"/>
      <c r="K648" s="348"/>
      <c r="L648" s="348"/>
      <c r="M648" s="348"/>
      <c r="N648" s="680" t="s">
        <v>1589</v>
      </c>
      <c r="O648" s="325"/>
      <c r="P648" s="185"/>
      <c r="Q648" s="433"/>
      <c r="R648" s="581" t="s">
        <v>2247</v>
      </c>
      <c r="S648" s="581" t="s">
        <v>110</v>
      </c>
      <c r="AA648" s="1332"/>
    </row>
    <row r="649" spans="6:27" ht="10.5" customHeight="1">
      <c r="F649" s="371"/>
      <c r="G649" s="348"/>
      <c r="H649" s="348"/>
      <c r="I649" s="348"/>
      <c r="J649" s="348"/>
      <c r="K649" s="348"/>
      <c r="L649" s="348"/>
      <c r="M649" s="348"/>
      <c r="N649" s="680" t="s">
        <v>2178</v>
      </c>
      <c r="O649" s="325"/>
      <c r="P649" s="185"/>
      <c r="Q649" s="433"/>
      <c r="R649" s="581" t="s">
        <v>2883</v>
      </c>
      <c r="S649" s="581" t="s">
        <v>1666</v>
      </c>
      <c r="AA649" s="1332"/>
    </row>
    <row r="650" spans="6:27" ht="10.5" customHeight="1">
      <c r="F650" s="371"/>
      <c r="G650" s="348"/>
      <c r="H650" s="348"/>
      <c r="I650" s="348"/>
      <c r="J650" s="348"/>
      <c r="K650" s="348"/>
      <c r="L650" s="348"/>
      <c r="M650" s="348"/>
      <c r="N650" s="680" t="s">
        <v>2179</v>
      </c>
      <c r="O650" s="325"/>
      <c r="P650" s="185"/>
      <c r="Q650" s="433"/>
      <c r="R650" s="581" t="s">
        <v>1525</v>
      </c>
      <c r="S650" s="581" t="s">
        <v>2619</v>
      </c>
      <c r="AA650" s="1332"/>
    </row>
    <row r="651" spans="6:27" ht="10.5" customHeight="1">
      <c r="F651" s="371"/>
      <c r="G651" s="348"/>
      <c r="H651" s="348"/>
      <c r="I651" s="348"/>
      <c r="J651" s="348"/>
      <c r="K651" s="348"/>
      <c r="L651" s="348"/>
      <c r="M651" s="348"/>
      <c r="N651" s="680" t="s">
        <v>1680</v>
      </c>
      <c r="O651" s="325"/>
      <c r="P651" s="185"/>
      <c r="Q651" s="433"/>
      <c r="R651" s="581" t="s">
        <v>3013</v>
      </c>
      <c r="S651" s="581" t="s">
        <v>2025</v>
      </c>
      <c r="AA651" s="1332"/>
    </row>
    <row r="652" spans="6:27" ht="10.5" customHeight="1">
      <c r="F652" s="371"/>
      <c r="G652" s="348"/>
      <c r="H652" s="348"/>
      <c r="I652" s="348"/>
      <c r="J652" s="348"/>
      <c r="K652" s="348"/>
      <c r="L652" s="348"/>
      <c r="M652" s="348"/>
      <c r="N652" s="680" t="s">
        <v>1682</v>
      </c>
      <c r="O652" s="325"/>
      <c r="P652" s="185"/>
      <c r="Q652" s="433"/>
      <c r="R652" s="581" t="s">
        <v>1527</v>
      </c>
      <c r="S652" s="581" t="s">
        <v>338</v>
      </c>
      <c r="AA652" s="1332"/>
    </row>
    <row r="653" spans="6:27" ht="10.5" customHeight="1">
      <c r="F653" s="371"/>
      <c r="G653" s="348"/>
      <c r="H653" s="348"/>
      <c r="I653" s="348"/>
      <c r="J653" s="348"/>
      <c r="K653" s="348"/>
      <c r="L653" s="348"/>
      <c r="M653" s="348"/>
      <c r="N653" s="680" t="s">
        <v>969</v>
      </c>
      <c r="O653" s="325"/>
      <c r="P653" s="185"/>
      <c r="Q653" s="433"/>
      <c r="R653" s="581" t="s">
        <v>1111</v>
      </c>
      <c r="S653" s="581" t="s">
        <v>684</v>
      </c>
      <c r="AA653" s="1332"/>
    </row>
    <row r="654" spans="6:27" ht="10.5" customHeight="1">
      <c r="F654" s="371"/>
      <c r="G654" s="348"/>
      <c r="H654" s="348"/>
      <c r="I654" s="348"/>
      <c r="J654" s="348"/>
      <c r="K654" s="348"/>
      <c r="L654" s="348"/>
      <c r="M654" s="348"/>
      <c r="N654" s="680" t="s">
        <v>971</v>
      </c>
      <c r="O654" s="325"/>
      <c r="P654" s="185"/>
      <c r="Q654" s="433"/>
      <c r="R654" s="581" t="s">
        <v>1355</v>
      </c>
      <c r="S654" s="581" t="s">
        <v>2260</v>
      </c>
      <c r="AA654" s="1332"/>
    </row>
    <row r="655" spans="6:27" ht="10.5" customHeight="1">
      <c r="F655" s="371"/>
      <c r="G655" s="348"/>
      <c r="H655" s="348"/>
      <c r="I655" s="348"/>
      <c r="J655" s="348"/>
      <c r="K655" s="348"/>
      <c r="L655" s="348"/>
      <c r="M655" s="348"/>
      <c r="N655" s="680" t="s">
        <v>973</v>
      </c>
      <c r="O655" s="325"/>
      <c r="P655" s="185"/>
      <c r="Q655" s="433"/>
      <c r="R655" s="581" t="s">
        <v>1357</v>
      </c>
      <c r="S655" s="581" t="s">
        <v>2619</v>
      </c>
      <c r="AA655" s="1332"/>
    </row>
    <row r="656" spans="6:27" ht="10.5" customHeight="1">
      <c r="F656" s="371"/>
      <c r="G656" s="348"/>
      <c r="H656" s="348"/>
      <c r="I656" s="348"/>
      <c r="J656" s="348"/>
      <c r="K656" s="348"/>
      <c r="L656" s="348"/>
      <c r="M656" s="348"/>
      <c r="N656" s="680" t="s">
        <v>2587</v>
      </c>
      <c r="O656" s="325"/>
      <c r="P656" s="185"/>
      <c r="Q656" s="433"/>
      <c r="R656" s="682" t="s">
        <v>2068</v>
      </c>
      <c r="S656" s="682" t="s">
        <v>1145</v>
      </c>
      <c r="AA656" s="1332"/>
    </row>
    <row r="657" spans="6:27" ht="10.5" customHeight="1">
      <c r="F657" s="371"/>
      <c r="G657" s="348"/>
      <c r="H657" s="348"/>
      <c r="I657" s="348"/>
      <c r="J657" s="348"/>
      <c r="K657" s="348"/>
      <c r="L657" s="348"/>
      <c r="M657" s="348"/>
      <c r="N657" s="680" t="s">
        <v>2589</v>
      </c>
      <c r="O657" s="325"/>
      <c r="P657" s="185"/>
      <c r="Q657" s="433"/>
      <c r="R657" s="682" t="s">
        <v>765</v>
      </c>
      <c r="S657" s="682" t="s">
        <v>328</v>
      </c>
      <c r="AA657" s="1333"/>
    </row>
    <row r="658" spans="6:27" ht="10.5" customHeight="1">
      <c r="F658" s="371"/>
      <c r="G658" s="348"/>
      <c r="H658" s="348"/>
      <c r="I658" s="348"/>
      <c r="J658" s="348"/>
      <c r="K658" s="348"/>
      <c r="L658" s="348"/>
      <c r="M658" s="348"/>
      <c r="N658" s="680" t="s">
        <v>2590</v>
      </c>
      <c r="O658" s="325"/>
      <c r="P658" s="185"/>
      <c r="Q658" s="433"/>
      <c r="R658" s="581" t="s">
        <v>1314</v>
      </c>
      <c r="S658" s="581" t="s">
        <v>697</v>
      </c>
      <c r="AA658" s="1333"/>
    </row>
    <row r="659" spans="6:27" ht="10.5" customHeight="1">
      <c r="F659" s="371"/>
      <c r="G659" s="348"/>
      <c r="H659" s="348"/>
      <c r="I659" s="348"/>
      <c r="J659" s="348"/>
      <c r="K659" s="348"/>
      <c r="L659" s="348"/>
      <c r="M659" s="348"/>
      <c r="N659" s="680" t="s">
        <v>1975</v>
      </c>
      <c r="O659" s="325"/>
      <c r="P659" s="185"/>
      <c r="Q659" s="433"/>
      <c r="R659" s="581" t="s">
        <v>1112</v>
      </c>
      <c r="S659" s="581" t="s">
        <v>164</v>
      </c>
      <c r="AA659" s="1332"/>
    </row>
    <row r="660" spans="6:27" ht="10.5" customHeight="1">
      <c r="F660" s="371"/>
      <c r="G660" s="348"/>
      <c r="H660" s="348"/>
      <c r="I660" s="348"/>
      <c r="J660" s="348"/>
      <c r="K660" s="348"/>
      <c r="L660" s="348"/>
      <c r="M660" s="348"/>
      <c r="N660" s="680" t="s">
        <v>1976</v>
      </c>
      <c r="O660" s="325"/>
      <c r="P660" s="185"/>
      <c r="Q660" s="433"/>
      <c r="R660" s="581" t="s">
        <v>1958</v>
      </c>
      <c r="S660" s="581" t="s">
        <v>1143</v>
      </c>
      <c r="AA660" s="1332"/>
    </row>
    <row r="661" spans="6:27" ht="10.5" customHeight="1">
      <c r="F661" s="371"/>
      <c r="G661" s="348"/>
      <c r="H661" s="348"/>
      <c r="I661" s="348"/>
      <c r="J661" s="348"/>
      <c r="K661" s="348"/>
      <c r="L661" s="348"/>
      <c r="M661" s="348"/>
      <c r="N661" s="680" t="s">
        <v>1978</v>
      </c>
      <c r="O661" s="325"/>
      <c r="P661" s="185"/>
      <c r="Q661" s="433"/>
      <c r="R661" s="581" t="s">
        <v>1960</v>
      </c>
      <c r="S661" s="581" t="s">
        <v>1511</v>
      </c>
      <c r="AA661" s="1332"/>
    </row>
    <row r="662" spans="6:27" ht="10.5" customHeight="1">
      <c r="F662" s="371"/>
      <c r="G662" s="348"/>
      <c r="H662" s="348"/>
      <c r="I662" s="348"/>
      <c r="J662" s="348"/>
      <c r="K662" s="348"/>
      <c r="L662" s="348"/>
      <c r="M662" s="348"/>
      <c r="N662" s="680" t="s">
        <v>668</v>
      </c>
      <c r="O662" s="325"/>
      <c r="P662" s="185"/>
      <c r="Q662" s="433"/>
      <c r="R662" s="581" t="s">
        <v>1962</v>
      </c>
      <c r="S662" s="581" t="s">
        <v>2572</v>
      </c>
      <c r="AA662" s="1332"/>
    </row>
    <row r="663" spans="6:27" ht="10.5" customHeight="1">
      <c r="F663" s="371"/>
      <c r="G663" s="348"/>
      <c r="H663" s="348"/>
      <c r="I663" s="348"/>
      <c r="J663" s="348"/>
      <c r="K663" s="348"/>
      <c r="L663" s="348"/>
      <c r="M663" s="348"/>
      <c r="N663" s="680" t="s">
        <v>670</v>
      </c>
      <c r="O663" s="325"/>
      <c r="P663" s="185"/>
      <c r="Q663" s="433"/>
      <c r="R663" s="581" t="s">
        <v>1964</v>
      </c>
      <c r="S663" s="581" t="s">
        <v>123</v>
      </c>
      <c r="AA663" s="1332"/>
    </row>
    <row r="664" spans="6:27" ht="10.5" customHeight="1">
      <c r="F664" s="371"/>
      <c r="G664" s="348"/>
      <c r="H664" s="348"/>
      <c r="I664" s="348"/>
      <c r="J664" s="348"/>
      <c r="K664" s="348"/>
      <c r="L664" s="348"/>
      <c r="M664" s="348"/>
      <c r="N664" s="680" t="s">
        <v>671</v>
      </c>
      <c r="O664" s="325"/>
      <c r="P664" s="185"/>
      <c r="Q664" s="433"/>
      <c r="R664" s="581" t="s">
        <v>520</v>
      </c>
      <c r="S664" s="581" t="s">
        <v>2084</v>
      </c>
      <c r="AA664" s="1332"/>
    </row>
    <row r="665" spans="6:27" ht="10.5" customHeight="1">
      <c r="F665" s="371"/>
      <c r="G665" s="348"/>
      <c r="H665" s="348"/>
      <c r="I665" s="348"/>
      <c r="J665" s="348"/>
      <c r="K665" s="348"/>
      <c r="L665" s="348"/>
      <c r="M665" s="348"/>
      <c r="N665" s="680" t="s">
        <v>2388</v>
      </c>
      <c r="O665" s="325"/>
      <c r="P665" s="185"/>
      <c r="Q665" s="433"/>
      <c r="R665" s="581" t="s">
        <v>2624</v>
      </c>
      <c r="S665" s="581" t="s">
        <v>1987</v>
      </c>
      <c r="AA665" s="1332"/>
    </row>
    <row r="666" spans="6:27" ht="10.5" customHeight="1">
      <c r="F666" s="371"/>
      <c r="G666" s="348"/>
      <c r="H666" s="348"/>
      <c r="I666" s="348"/>
      <c r="J666" s="348"/>
      <c r="K666" s="348"/>
      <c r="L666" s="348"/>
      <c r="M666" s="348"/>
      <c r="N666" s="680" t="s">
        <v>73</v>
      </c>
      <c r="O666" s="325"/>
      <c r="P666" s="185"/>
      <c r="Q666" s="433"/>
      <c r="R666" s="581" t="s">
        <v>2626</v>
      </c>
      <c r="S666" s="581" t="s">
        <v>2617</v>
      </c>
      <c r="AA666" s="1332"/>
    </row>
    <row r="667" spans="6:27" ht="10.5" customHeight="1">
      <c r="F667" s="371"/>
      <c r="G667" s="348"/>
      <c r="H667" s="348"/>
      <c r="I667" s="348"/>
      <c r="J667" s="348"/>
      <c r="K667" s="348"/>
      <c r="L667" s="348"/>
      <c r="M667" s="348"/>
      <c r="N667" s="680" t="s">
        <v>1468</v>
      </c>
      <c r="O667" s="325"/>
      <c r="P667" s="185"/>
      <c r="Q667" s="433"/>
      <c r="R667" s="581" t="s">
        <v>1197</v>
      </c>
      <c r="S667" s="581" t="s">
        <v>325</v>
      </c>
      <c r="AA667" s="1332"/>
    </row>
    <row r="668" spans="6:27" ht="10.5" customHeight="1">
      <c r="F668" s="371"/>
      <c r="G668" s="348"/>
      <c r="H668" s="348"/>
      <c r="I668" s="348"/>
      <c r="J668" s="348"/>
      <c r="K668" s="348"/>
      <c r="L668" s="348"/>
      <c r="M668" s="348"/>
      <c r="N668" s="680" t="s">
        <v>2337</v>
      </c>
      <c r="O668" s="325"/>
      <c r="P668" s="185"/>
      <c r="Q668" s="433"/>
      <c r="R668" s="581" t="s">
        <v>2604</v>
      </c>
      <c r="S668" s="581" t="s">
        <v>910</v>
      </c>
      <c r="AA668" s="1332"/>
    </row>
    <row r="669" spans="6:27" ht="10.5" customHeight="1">
      <c r="F669" s="371"/>
      <c r="G669" s="348"/>
      <c r="H669" s="348"/>
      <c r="I669" s="348"/>
      <c r="J669" s="348"/>
      <c r="K669" s="348"/>
      <c r="L669" s="348"/>
      <c r="M669" s="348"/>
      <c r="N669" s="680" t="s">
        <v>2339</v>
      </c>
      <c r="O669" s="325"/>
      <c r="P669" s="185"/>
      <c r="Q669" s="433"/>
      <c r="R669" s="581" t="s">
        <v>848</v>
      </c>
      <c r="S669" s="581" t="s">
        <v>1383</v>
      </c>
      <c r="AA669" s="1332"/>
    </row>
    <row r="670" spans="6:27" ht="10.5" customHeight="1">
      <c r="F670" s="371"/>
      <c r="G670" s="348"/>
      <c r="H670" s="348"/>
      <c r="I670" s="348"/>
      <c r="J670" s="348"/>
      <c r="K670" s="348"/>
      <c r="L670" s="348"/>
      <c r="M670" s="348"/>
      <c r="N670" s="680" t="s">
        <v>1871</v>
      </c>
      <c r="O670" s="325"/>
      <c r="P670" s="185"/>
      <c r="Q670" s="433"/>
      <c r="R670" s="581" t="s">
        <v>1108</v>
      </c>
      <c r="S670" s="581" t="s">
        <v>692</v>
      </c>
      <c r="AA670" s="1332"/>
    </row>
    <row r="671" spans="6:27" ht="10.5" customHeight="1">
      <c r="F671" s="371"/>
      <c r="G671" s="348"/>
      <c r="H671" s="348"/>
      <c r="I671" s="348"/>
      <c r="J671" s="348"/>
      <c r="K671" s="348"/>
      <c r="L671" s="348"/>
      <c r="M671" s="348"/>
      <c r="N671" s="680" t="s">
        <v>1155</v>
      </c>
      <c r="O671" s="325"/>
      <c r="P671" s="185"/>
      <c r="Q671" s="433"/>
      <c r="R671" s="581" t="s">
        <v>1590</v>
      </c>
      <c r="S671" s="581" t="s">
        <v>341</v>
      </c>
      <c r="AA671" s="1332"/>
    </row>
    <row r="672" spans="6:27" ht="10.5" customHeight="1">
      <c r="F672" s="371"/>
      <c r="G672" s="348"/>
      <c r="H672" s="348"/>
      <c r="I672" s="348"/>
      <c r="J672" s="348"/>
      <c r="K672" s="348"/>
      <c r="L672" s="348"/>
      <c r="M672" s="348"/>
      <c r="N672" s="680" t="s">
        <v>2125</v>
      </c>
      <c r="O672" s="325"/>
      <c r="P672" s="185"/>
      <c r="Q672" s="433"/>
      <c r="R672" s="581" t="s">
        <v>3014</v>
      </c>
      <c r="S672" s="581" t="s">
        <v>909</v>
      </c>
      <c r="AA672" s="1332"/>
    </row>
    <row r="673" spans="6:27" ht="10.5" customHeight="1">
      <c r="F673" s="371"/>
      <c r="G673" s="348"/>
      <c r="H673" s="348"/>
      <c r="I673" s="348"/>
      <c r="J673" s="348"/>
      <c r="K673" s="348"/>
      <c r="L673" s="348"/>
      <c r="M673" s="348"/>
      <c r="N673" s="680" t="s">
        <v>2043</v>
      </c>
      <c r="O673" s="325"/>
      <c r="P673" s="185"/>
      <c r="Q673" s="433"/>
      <c r="R673" s="581" t="s">
        <v>2180</v>
      </c>
      <c r="S673" s="581" t="s">
        <v>1376</v>
      </c>
      <c r="AA673" s="1332"/>
    </row>
    <row r="674" spans="6:27" ht="10.5" customHeight="1">
      <c r="F674" s="371"/>
      <c r="G674" s="348"/>
      <c r="H674" s="348"/>
      <c r="I674" s="348"/>
      <c r="J674" s="348"/>
      <c r="K674" s="348"/>
      <c r="L674" s="348"/>
      <c r="M674" s="348"/>
      <c r="N674" s="680" t="s">
        <v>2045</v>
      </c>
      <c r="O674" s="325"/>
      <c r="P674" s="185"/>
      <c r="Q674" s="433"/>
      <c r="R674" s="581" t="s">
        <v>1681</v>
      </c>
      <c r="S674" s="581" t="s">
        <v>1362</v>
      </c>
      <c r="AA674" s="1332"/>
    </row>
    <row r="675" spans="6:27" ht="10.5" customHeight="1">
      <c r="F675" s="371"/>
      <c r="G675" s="348"/>
      <c r="H675" s="348"/>
      <c r="I675" s="348"/>
      <c r="J675" s="348"/>
      <c r="K675" s="348"/>
      <c r="L675" s="348"/>
      <c r="M675" s="348"/>
      <c r="N675" s="680" t="s">
        <v>2047</v>
      </c>
      <c r="O675" s="325"/>
      <c r="P675" s="185"/>
      <c r="Q675" s="433"/>
      <c r="R675" s="581" t="s">
        <v>970</v>
      </c>
      <c r="S675" s="581" t="s">
        <v>2322</v>
      </c>
      <c r="AA675" s="1332"/>
    </row>
    <row r="676" spans="6:27" ht="10.5" customHeight="1">
      <c r="F676" s="371"/>
      <c r="G676" s="348"/>
      <c r="H676" s="348"/>
      <c r="I676" s="348"/>
      <c r="J676" s="348"/>
      <c r="K676" s="348"/>
      <c r="L676" s="348"/>
      <c r="M676" s="348"/>
      <c r="N676" s="680" t="s">
        <v>512</v>
      </c>
      <c r="O676" s="325"/>
      <c r="P676" s="185"/>
      <c r="Q676" s="433"/>
      <c r="R676" s="581" t="s">
        <v>972</v>
      </c>
      <c r="S676" s="581" t="s">
        <v>332</v>
      </c>
      <c r="AA676" s="1332"/>
    </row>
    <row r="677" spans="6:27" ht="10.5" customHeight="1">
      <c r="F677" s="371"/>
      <c r="G677" s="348"/>
      <c r="H677" s="348"/>
      <c r="I677" s="348"/>
      <c r="J677" s="348"/>
      <c r="K677" s="348"/>
      <c r="L677" s="348"/>
      <c r="M677" s="348"/>
      <c r="N677" s="680" t="s">
        <v>470</v>
      </c>
      <c r="O677" s="325"/>
      <c r="P677" s="185"/>
      <c r="Q677" s="433"/>
      <c r="R677" s="581" t="s">
        <v>2588</v>
      </c>
      <c r="S677" s="581" t="s">
        <v>652</v>
      </c>
      <c r="AA677" s="1332"/>
    </row>
    <row r="678" spans="6:27" ht="10.5" customHeight="1">
      <c r="F678" s="371"/>
      <c r="G678" s="348"/>
      <c r="H678" s="348"/>
      <c r="I678" s="348"/>
      <c r="J678" s="348"/>
      <c r="K678" s="348"/>
      <c r="L678" s="348"/>
      <c r="M678" s="348"/>
      <c r="N678" s="680" t="s">
        <v>2175</v>
      </c>
      <c r="O678" s="325"/>
      <c r="P678" s="185"/>
      <c r="Q678" s="433"/>
      <c r="R678" s="581" t="s">
        <v>1974</v>
      </c>
      <c r="S678" s="581" t="s">
        <v>123</v>
      </c>
      <c r="AA678" s="1332"/>
    </row>
    <row r="679" spans="6:27" ht="10.5" customHeight="1">
      <c r="F679" s="371"/>
      <c r="G679" s="348"/>
      <c r="H679" s="348"/>
      <c r="I679" s="348"/>
      <c r="J679" s="348"/>
      <c r="K679" s="348"/>
      <c r="L679" s="348"/>
      <c r="M679" s="348"/>
      <c r="N679" s="680" t="s">
        <v>2202</v>
      </c>
      <c r="O679" s="325"/>
      <c r="P679" s="185"/>
      <c r="Q679" s="433"/>
      <c r="R679" s="581" t="s">
        <v>1977</v>
      </c>
      <c r="S679" s="581" t="s">
        <v>2322</v>
      </c>
      <c r="AA679" s="1332"/>
    </row>
    <row r="680" spans="6:27" ht="10.5" customHeight="1">
      <c r="F680" s="371"/>
      <c r="G680" s="348"/>
      <c r="H680" s="348"/>
      <c r="I680" s="348"/>
      <c r="J680" s="348"/>
      <c r="K680" s="348"/>
      <c r="L680" s="348"/>
      <c r="M680" s="348"/>
      <c r="N680" s="2452"/>
      <c r="O680" s="2453"/>
      <c r="P680" s="2453"/>
      <c r="Q680" s="2454"/>
      <c r="R680" s="581" t="s">
        <v>1979</v>
      </c>
      <c r="S680" s="581" t="s">
        <v>167</v>
      </c>
      <c r="AA680" s="1332"/>
    </row>
    <row r="681" spans="6:27" ht="10.5" customHeight="1">
      <c r="F681" s="371"/>
      <c r="G681" s="348"/>
      <c r="H681" s="348"/>
      <c r="I681" s="348"/>
      <c r="J681" s="348"/>
      <c r="K681" s="348"/>
      <c r="L681" s="348"/>
      <c r="M681" s="348"/>
      <c r="N681" s="685"/>
      <c r="O681" s="686"/>
      <c r="P681" s="183"/>
      <c r="Q681" s="348"/>
      <c r="R681" s="581" t="s">
        <v>669</v>
      </c>
      <c r="S681" s="581" t="s">
        <v>2486</v>
      </c>
      <c r="AA681" s="1332"/>
    </row>
    <row r="682" spans="6:27" ht="10.5" customHeight="1">
      <c r="F682" s="371"/>
      <c r="G682" s="348"/>
      <c r="H682" s="348"/>
      <c r="I682" s="348"/>
      <c r="J682" s="348"/>
      <c r="K682" s="348"/>
      <c r="L682" s="348"/>
      <c r="M682" s="348"/>
      <c r="N682" s="348"/>
      <c r="O682" s="348"/>
      <c r="P682" s="348"/>
      <c r="Q682" s="348"/>
      <c r="R682" s="581" t="s">
        <v>849</v>
      </c>
      <c r="S682" s="581" t="s">
        <v>2251</v>
      </c>
      <c r="AA682" s="1332"/>
    </row>
    <row r="683" spans="6:27" ht="10.5" customHeight="1">
      <c r="F683" s="371"/>
      <c r="G683" s="348"/>
      <c r="H683" s="348"/>
      <c r="I683" s="348"/>
      <c r="J683" s="348"/>
      <c r="K683" s="686"/>
      <c r="L683" s="183"/>
      <c r="M683" s="348"/>
      <c r="N683" s="348"/>
      <c r="O683" s="348"/>
      <c r="P683" s="348"/>
      <c r="Q683" s="348"/>
      <c r="R683" s="581" t="s">
        <v>1113</v>
      </c>
      <c r="S683" s="581" t="s">
        <v>1985</v>
      </c>
      <c r="AA683" s="1332"/>
    </row>
    <row r="684" spans="6:27" ht="10.5" customHeight="1">
      <c r="F684" s="371"/>
      <c r="G684" s="348"/>
      <c r="H684" s="348"/>
      <c r="I684" s="348"/>
      <c r="J684" s="685"/>
      <c r="K684" s="686"/>
      <c r="L684" s="183"/>
      <c r="M684" s="348"/>
      <c r="N684" s="348"/>
      <c r="O684" s="348"/>
      <c r="P684" s="348"/>
      <c r="Q684" s="348"/>
      <c r="R684" s="581" t="s">
        <v>1114</v>
      </c>
      <c r="S684" s="581" t="s">
        <v>2081</v>
      </c>
      <c r="AA684" s="1332"/>
    </row>
    <row r="685" spans="6:27" ht="10.5" customHeight="1">
      <c r="F685" s="371"/>
      <c r="G685" s="348"/>
      <c r="H685" s="348"/>
      <c r="I685" s="348"/>
      <c r="J685" s="685"/>
      <c r="K685" s="686"/>
      <c r="L685" s="183"/>
      <c r="M685" s="348"/>
      <c r="N685" s="348"/>
      <c r="O685" s="348"/>
      <c r="P685" s="348"/>
      <c r="Q685" s="348"/>
      <c r="R685" s="682" t="s">
        <v>1520</v>
      </c>
      <c r="S685" s="682" t="s">
        <v>1256</v>
      </c>
      <c r="AA685" s="1332"/>
    </row>
    <row r="686" spans="6:27" ht="10.5" customHeight="1">
      <c r="F686" s="371"/>
      <c r="G686" s="348"/>
      <c r="H686" s="348"/>
      <c r="I686" s="348"/>
      <c r="J686" s="685"/>
      <c r="K686" s="686"/>
      <c r="L686" s="183"/>
      <c r="M686" s="348"/>
      <c r="N686" s="348"/>
      <c r="O686" s="348"/>
      <c r="P686" s="348"/>
      <c r="Q686" s="348"/>
      <c r="R686" s="581" t="s">
        <v>2389</v>
      </c>
      <c r="S686" s="581" t="s">
        <v>123</v>
      </c>
      <c r="AA686" s="1333"/>
    </row>
    <row r="687" spans="6:27" ht="10.5" customHeight="1">
      <c r="F687" s="371"/>
      <c r="G687" s="348"/>
      <c r="H687" s="348"/>
      <c r="I687" s="348"/>
      <c r="J687" s="685"/>
      <c r="K687" s="686"/>
      <c r="L687" s="183"/>
      <c r="M687" s="348"/>
      <c r="N687" s="348"/>
      <c r="O687" s="348"/>
      <c r="P687" s="348"/>
      <c r="Q687" s="348"/>
      <c r="R687" s="581" t="s">
        <v>1467</v>
      </c>
      <c r="S687" s="581" t="s">
        <v>2322</v>
      </c>
      <c r="AA687" s="1332"/>
    </row>
    <row r="688" spans="6:27" ht="10.5" customHeight="1">
      <c r="F688" s="371"/>
      <c r="G688" s="348"/>
      <c r="H688" s="348"/>
      <c r="I688" s="348"/>
      <c r="J688" s="685"/>
      <c r="K688" s="686"/>
      <c r="L688" s="183"/>
      <c r="M688" s="348"/>
      <c r="N688" s="348"/>
      <c r="O688" s="348"/>
      <c r="P688" s="348"/>
      <c r="Q688" s="348"/>
      <c r="R688" s="581" t="s">
        <v>2336</v>
      </c>
      <c r="S688" s="581" t="s">
        <v>1991</v>
      </c>
      <c r="AA688" s="1332"/>
    </row>
    <row r="689" spans="6:27" ht="10.5" customHeight="1">
      <c r="F689" s="371"/>
      <c r="G689" s="348"/>
      <c r="H689" s="348"/>
      <c r="I689" s="348"/>
      <c r="J689" s="685"/>
      <c r="K689" s="686"/>
      <c r="L689" s="183"/>
      <c r="M689" s="348"/>
      <c r="N689" s="348"/>
      <c r="O689" s="348"/>
      <c r="P689" s="348"/>
      <c r="Q689" s="348"/>
      <c r="R689" s="581" t="s">
        <v>2338</v>
      </c>
      <c r="S689" s="581" t="s">
        <v>2247</v>
      </c>
      <c r="AA689" s="1332"/>
    </row>
    <row r="690" spans="6:27" ht="10.5" customHeight="1">
      <c r="F690" s="371"/>
      <c r="G690" s="348"/>
      <c r="H690" s="348"/>
      <c r="I690" s="348"/>
      <c r="J690" s="685"/>
      <c r="K690" s="686"/>
      <c r="L690" s="183"/>
      <c r="M690" s="348"/>
      <c r="N690" s="348"/>
      <c r="O690" s="348"/>
      <c r="P690" s="348"/>
      <c r="Q690" s="348"/>
      <c r="R690" s="581" t="s">
        <v>2340</v>
      </c>
      <c r="S690" s="581" t="s">
        <v>2486</v>
      </c>
      <c r="AA690" s="1332"/>
    </row>
    <row r="691" spans="6:27" ht="10.5" customHeight="1">
      <c r="F691" s="371"/>
      <c r="G691" s="348"/>
      <c r="H691" s="348"/>
      <c r="I691" s="348"/>
      <c r="J691" s="685"/>
      <c r="K691" s="686"/>
      <c r="L691" s="183"/>
      <c r="M691" s="348"/>
      <c r="N691" s="348"/>
      <c r="O691" s="348"/>
      <c r="P691" s="348"/>
      <c r="Q691" s="348"/>
      <c r="R691" s="581" t="s">
        <v>3015</v>
      </c>
      <c r="S691" s="581" t="s">
        <v>164</v>
      </c>
      <c r="AA691" s="1332"/>
    </row>
    <row r="692" spans="6:27" ht="10.5" customHeight="1">
      <c r="F692" s="371"/>
      <c r="G692" s="348"/>
      <c r="H692" s="348"/>
      <c r="I692" s="348"/>
      <c r="J692" s="685"/>
      <c r="K692" s="686"/>
      <c r="L692" s="183"/>
      <c r="M692" s="348"/>
      <c r="N692" s="348"/>
      <c r="O692" s="348"/>
      <c r="P692" s="348"/>
      <c r="Q692" s="348"/>
      <c r="R692" s="581" t="s">
        <v>1154</v>
      </c>
      <c r="S692" s="581" t="s">
        <v>2258</v>
      </c>
      <c r="AA692" s="1332"/>
    </row>
    <row r="693" spans="6:27" ht="10.5" customHeight="1">
      <c r="F693" s="371"/>
      <c r="G693" s="348"/>
      <c r="H693" s="348"/>
      <c r="I693" s="348"/>
      <c r="J693" s="685"/>
      <c r="K693" s="686"/>
      <c r="L693" s="183"/>
      <c r="M693" s="348"/>
      <c r="N693" s="348"/>
      <c r="O693" s="348"/>
      <c r="P693" s="348"/>
      <c r="Q693" s="348"/>
      <c r="R693" s="581" t="s">
        <v>1156</v>
      </c>
      <c r="S693" s="581" t="s">
        <v>1131</v>
      </c>
      <c r="AA693" s="1332"/>
    </row>
    <row r="694" spans="6:27" ht="10.5" customHeight="1">
      <c r="F694" s="371"/>
      <c r="G694" s="348"/>
      <c r="H694" s="348"/>
      <c r="I694" s="348"/>
      <c r="J694" s="685"/>
      <c r="K694" s="686"/>
      <c r="L694" s="183"/>
      <c r="M694" s="348"/>
      <c r="N694" s="348"/>
      <c r="O694" s="348"/>
      <c r="P694" s="348"/>
      <c r="Q694" s="348"/>
      <c r="R694" s="581" t="s">
        <v>2126</v>
      </c>
      <c r="S694" s="581" t="s">
        <v>327</v>
      </c>
      <c r="AA694" s="1332"/>
    </row>
    <row r="695" spans="6:27" ht="10.5" customHeight="1">
      <c r="F695" s="371"/>
      <c r="G695" s="348"/>
      <c r="H695" s="348"/>
      <c r="I695" s="348"/>
      <c r="J695" s="685"/>
      <c r="K695" s="686"/>
      <c r="L695" s="183"/>
      <c r="M695" s="348"/>
      <c r="N695" s="348"/>
      <c r="O695" s="348"/>
      <c r="P695" s="348"/>
      <c r="Q695" s="348"/>
      <c r="R695" s="682" t="s">
        <v>2044</v>
      </c>
      <c r="S695" s="682" t="s">
        <v>124</v>
      </c>
      <c r="AA695" s="1332"/>
    </row>
    <row r="696" spans="6:27" ht="10.5" customHeight="1">
      <c r="F696" s="371"/>
      <c r="G696" s="348"/>
      <c r="H696" s="348"/>
      <c r="I696" s="348"/>
      <c r="J696" s="685"/>
      <c r="K696" s="686"/>
      <c r="L696" s="183"/>
      <c r="M696" s="348"/>
      <c r="N696" s="348"/>
      <c r="O696" s="348"/>
      <c r="P696" s="348"/>
      <c r="Q696" s="348"/>
      <c r="R696" s="581" t="s">
        <v>2046</v>
      </c>
      <c r="S696" s="581" t="s">
        <v>336</v>
      </c>
      <c r="AA696" s="1333"/>
    </row>
    <row r="697" spans="6:27" ht="10.5" customHeight="1">
      <c r="F697" s="371"/>
      <c r="G697" s="348"/>
      <c r="H697" s="348"/>
      <c r="I697" s="348"/>
      <c r="J697" s="685"/>
      <c r="K697" s="686"/>
      <c r="L697" s="183"/>
      <c r="M697" s="348"/>
      <c r="N697" s="348"/>
      <c r="O697" s="348"/>
      <c r="P697" s="348"/>
      <c r="Q697" s="348"/>
      <c r="R697" s="581" t="s">
        <v>2048</v>
      </c>
      <c r="S697" s="581" t="s">
        <v>189</v>
      </c>
      <c r="AA697" s="1332"/>
    </row>
    <row r="698" spans="6:27" ht="10.5" customHeight="1">
      <c r="F698" s="371"/>
      <c r="G698" s="348"/>
      <c r="H698" s="348"/>
      <c r="I698" s="348"/>
      <c r="J698" s="685"/>
      <c r="K698" s="686"/>
      <c r="L698" s="183"/>
      <c r="M698" s="348"/>
      <c r="N698" s="348"/>
      <c r="O698" s="348"/>
      <c r="P698" s="348"/>
      <c r="Q698" s="348"/>
      <c r="R698" s="581" t="s">
        <v>3016</v>
      </c>
      <c r="S698" s="581" t="s">
        <v>1985</v>
      </c>
      <c r="AA698" s="1332"/>
    </row>
    <row r="699" spans="6:27" ht="10.5" customHeight="1">
      <c r="F699" s="371"/>
      <c r="G699" s="348"/>
      <c r="H699" s="348"/>
      <c r="I699" s="348"/>
      <c r="J699" s="685"/>
      <c r="K699" s="686"/>
      <c r="L699" s="183"/>
      <c r="M699" s="348"/>
      <c r="N699" s="348"/>
      <c r="O699" s="348"/>
      <c r="P699" s="348"/>
      <c r="Q699" s="348"/>
      <c r="R699" s="581" t="s">
        <v>471</v>
      </c>
      <c r="S699" s="581" t="s">
        <v>1363</v>
      </c>
      <c r="AA699" s="1332"/>
    </row>
    <row r="700" spans="6:27" ht="10.5" customHeight="1">
      <c r="F700" s="371"/>
      <c r="G700" s="348"/>
      <c r="H700" s="348"/>
      <c r="I700" s="348"/>
      <c r="J700" s="685"/>
      <c r="K700" s="686"/>
      <c r="L700" s="183"/>
      <c r="M700" s="348"/>
      <c r="N700" s="348"/>
      <c r="O700" s="348"/>
      <c r="P700" s="348"/>
      <c r="Q700" s="348"/>
      <c r="R700" s="581" t="s">
        <v>2176</v>
      </c>
      <c r="S700" s="581" t="s">
        <v>763</v>
      </c>
      <c r="AA700" s="1332"/>
    </row>
    <row r="701" spans="6:27" ht="10.5" customHeight="1">
      <c r="F701" s="371"/>
      <c r="G701" s="348"/>
      <c r="H701" s="348"/>
      <c r="I701" s="348"/>
      <c r="J701" s="685"/>
      <c r="K701" s="686"/>
      <c r="L701" s="183"/>
      <c r="M701" s="348"/>
      <c r="N701" s="348"/>
      <c r="O701" s="348"/>
      <c r="P701" s="348"/>
      <c r="Q701" s="348"/>
      <c r="R701" s="581" t="s">
        <v>2203</v>
      </c>
      <c r="S701" s="581" t="s">
        <v>108</v>
      </c>
      <c r="AA701" s="1332"/>
    </row>
    <row r="702" spans="6:27" ht="10.5" customHeight="1">
      <c r="F702" s="371"/>
      <c r="G702" s="348"/>
      <c r="H702" s="348"/>
      <c r="I702" s="348"/>
      <c r="J702" s="685"/>
      <c r="K702" s="686"/>
      <c r="L702" s="183"/>
      <c r="M702" s="348"/>
      <c r="N702" s="348"/>
      <c r="O702" s="348"/>
      <c r="P702" s="348"/>
      <c r="Q702" s="348"/>
      <c r="R702" s="581" t="s">
        <v>865</v>
      </c>
      <c r="S702" s="581" t="s">
        <v>2081</v>
      </c>
      <c r="AA702" s="1332"/>
    </row>
    <row r="703" spans="6:27" ht="10.5" customHeight="1">
      <c r="F703" s="371"/>
      <c r="G703" s="348"/>
      <c r="H703" s="348"/>
      <c r="I703" s="348"/>
      <c r="J703" s="685"/>
      <c r="K703" s="686"/>
      <c r="L703" s="183"/>
      <c r="M703" s="348"/>
      <c r="N703" s="348"/>
      <c r="O703" s="348"/>
      <c r="P703" s="348"/>
      <c r="Q703" s="348"/>
      <c r="R703" s="581" t="s">
        <v>2204</v>
      </c>
      <c r="S703" s="581" t="s">
        <v>2081</v>
      </c>
      <c r="AA703" s="1332"/>
    </row>
    <row r="704" spans="6:27" ht="10.5" customHeight="1">
      <c r="F704" s="371"/>
      <c r="G704" s="348"/>
      <c r="H704" s="348"/>
      <c r="I704" s="348"/>
      <c r="J704" s="685"/>
      <c r="K704" s="686"/>
      <c r="L704" s="183"/>
      <c r="M704" s="348"/>
      <c r="N704" s="348"/>
      <c r="O704" s="348"/>
      <c r="P704" s="348"/>
      <c r="Q704" s="348"/>
      <c r="R704" s="682" t="s">
        <v>2205</v>
      </c>
      <c r="S704" s="682" t="s">
        <v>1725</v>
      </c>
      <c r="AA704" s="1332"/>
    </row>
    <row r="705" spans="6:27" ht="10.5" customHeight="1">
      <c r="F705" s="371"/>
      <c r="G705" s="348"/>
      <c r="H705" s="348"/>
      <c r="I705" s="348"/>
      <c r="J705" s="685"/>
      <c r="K705" s="686"/>
      <c r="L705" s="183"/>
      <c r="M705" s="348"/>
      <c r="N705" s="348"/>
      <c r="O705" s="348"/>
      <c r="P705" s="348"/>
      <c r="Q705" s="348"/>
      <c r="R705" s="581" t="s">
        <v>2413</v>
      </c>
      <c r="S705" s="581" t="s">
        <v>1950</v>
      </c>
      <c r="AA705" s="1333"/>
    </row>
    <row r="706" spans="6:27" ht="10.5" customHeight="1">
      <c r="F706" s="371"/>
      <c r="G706" s="348"/>
      <c r="H706" s="348"/>
      <c r="I706" s="348"/>
      <c r="J706" s="685"/>
      <c r="K706" s="686"/>
      <c r="L706" s="183"/>
      <c r="M706" s="348"/>
      <c r="N706" s="348"/>
      <c r="O706" s="348"/>
      <c r="P706" s="348"/>
      <c r="Q706" s="348"/>
      <c r="R706" s="581" t="s">
        <v>2414</v>
      </c>
      <c r="S706" s="581" t="s">
        <v>164</v>
      </c>
      <c r="AA706" s="1332"/>
    </row>
    <row r="707" spans="6:27" ht="10.5" customHeight="1">
      <c r="F707" s="371"/>
      <c r="G707" s="348"/>
      <c r="H707" s="348"/>
      <c r="I707" s="348"/>
      <c r="J707" s="685"/>
      <c r="K707" s="686"/>
      <c r="L707" s="183"/>
      <c r="M707" s="348"/>
      <c r="N707" s="348"/>
      <c r="O707" s="348"/>
      <c r="P707" s="348"/>
      <c r="Q707" s="348"/>
      <c r="R707" s="581" t="s">
        <v>2415</v>
      </c>
      <c r="S707" s="581" t="s">
        <v>1727</v>
      </c>
      <c r="AA707" s="1332"/>
    </row>
    <row r="708" spans="6:27" ht="10.5" customHeight="1">
      <c r="F708" s="371"/>
      <c r="G708" s="348"/>
      <c r="H708" s="348"/>
      <c r="I708" s="348"/>
      <c r="J708" s="685"/>
      <c r="K708" s="686"/>
      <c r="L708" s="183"/>
      <c r="M708" s="348"/>
      <c r="N708" s="348"/>
      <c r="O708" s="348"/>
      <c r="P708" s="348"/>
      <c r="Q708" s="348"/>
      <c r="R708" s="581" t="s">
        <v>2416</v>
      </c>
      <c r="S708" s="581" t="s">
        <v>1143</v>
      </c>
      <c r="AA708" s="1332"/>
    </row>
    <row r="709" spans="6:27" ht="10.5" customHeight="1">
      <c r="F709" s="371"/>
      <c r="G709" s="348"/>
      <c r="H709" s="348"/>
      <c r="I709" s="348"/>
      <c r="J709" s="685"/>
      <c r="K709" s="686"/>
      <c r="L709" s="183"/>
      <c r="M709" s="348"/>
      <c r="N709" s="348"/>
      <c r="O709" s="348"/>
      <c r="P709" s="348"/>
      <c r="Q709" s="348"/>
      <c r="R709" s="581" t="s">
        <v>2417</v>
      </c>
      <c r="S709" s="581" t="s">
        <v>2482</v>
      </c>
      <c r="AA709" s="1332"/>
    </row>
    <row r="710" spans="6:27" ht="10.5" customHeight="1">
      <c r="F710" s="371"/>
      <c r="G710" s="348"/>
      <c r="H710" s="348"/>
      <c r="I710" s="348"/>
      <c r="J710" s="685"/>
      <c r="K710" s="686"/>
      <c r="L710" s="183"/>
      <c r="M710" s="348"/>
      <c r="N710" s="348"/>
      <c r="O710" s="348"/>
      <c r="P710" s="348"/>
      <c r="Q710" s="348"/>
      <c r="R710" s="581" t="s">
        <v>2341</v>
      </c>
      <c r="S710" s="581" t="s">
        <v>2252</v>
      </c>
      <c r="AA710" s="1332"/>
    </row>
    <row r="711" spans="6:27" ht="10.5" customHeight="1">
      <c r="F711" s="371"/>
      <c r="G711" s="348"/>
      <c r="H711" s="348"/>
      <c r="I711" s="348"/>
      <c r="J711" s="685"/>
      <c r="K711" s="686"/>
      <c r="L711" s="183"/>
      <c r="M711" s="348"/>
      <c r="N711" s="348"/>
      <c r="O711" s="348"/>
      <c r="P711" s="348"/>
      <c r="Q711" s="348"/>
      <c r="R711" s="581" t="s">
        <v>1684</v>
      </c>
      <c r="S711" s="581" t="s">
        <v>2484</v>
      </c>
      <c r="AA711" s="1332"/>
    </row>
    <row r="712" spans="6:27" ht="10.5" customHeight="1">
      <c r="F712" s="371"/>
      <c r="G712" s="348"/>
      <c r="H712" s="348"/>
      <c r="I712" s="348"/>
      <c r="J712" s="685"/>
      <c r="K712" s="686"/>
      <c r="L712" s="183"/>
      <c r="M712" s="348"/>
      <c r="N712" s="348"/>
      <c r="O712" s="348"/>
      <c r="P712" s="348"/>
      <c r="Q712" s="348"/>
      <c r="R712" s="581" t="s">
        <v>1685</v>
      </c>
      <c r="S712" s="581" t="s">
        <v>200</v>
      </c>
      <c r="AA712" s="1332"/>
    </row>
    <row r="713" spans="6:27" ht="10.5" customHeight="1">
      <c r="F713" s="371"/>
      <c r="G713" s="348"/>
      <c r="H713" s="348"/>
      <c r="I713" s="348"/>
      <c r="J713" s="685"/>
      <c r="K713" s="686"/>
      <c r="L713" s="183"/>
      <c r="M713" s="348"/>
      <c r="N713" s="348"/>
      <c r="O713" s="348"/>
      <c r="P713" s="348"/>
      <c r="Q713" s="348"/>
      <c r="R713" s="581" t="s">
        <v>1750</v>
      </c>
      <c r="S713" s="581" t="s">
        <v>167</v>
      </c>
      <c r="AA713" s="1332"/>
    </row>
    <row r="714" spans="6:27" ht="10.5" customHeight="1">
      <c r="F714" s="371"/>
      <c r="G714" s="348"/>
      <c r="H714" s="348"/>
      <c r="I714" s="348"/>
      <c r="J714" s="685"/>
      <c r="K714" s="686"/>
      <c r="L714" s="183"/>
      <c r="M714" s="348"/>
      <c r="N714" s="348"/>
      <c r="O714" s="348"/>
      <c r="P714" s="348"/>
      <c r="Q714" s="348"/>
      <c r="R714" s="581" t="s">
        <v>1115</v>
      </c>
      <c r="S714" s="581" t="s">
        <v>652</v>
      </c>
      <c r="AA714" s="1332"/>
    </row>
    <row r="715" spans="6:27" ht="10.5" customHeight="1">
      <c r="F715" s="371"/>
      <c r="G715" s="348"/>
      <c r="H715" s="348"/>
      <c r="I715" s="348"/>
      <c r="J715" s="685"/>
      <c r="K715" s="686"/>
      <c r="L715" s="183"/>
      <c r="M715" s="348"/>
      <c r="N715" s="348"/>
      <c r="O715" s="348"/>
      <c r="P715" s="348"/>
      <c r="Q715" s="348"/>
      <c r="R715" s="581" t="s">
        <v>850</v>
      </c>
      <c r="S715" s="581" t="s">
        <v>2024</v>
      </c>
      <c r="AA715" s="1332"/>
    </row>
    <row r="716" spans="6:27" ht="10.5" customHeight="1">
      <c r="F716" s="371"/>
      <c r="G716" s="348"/>
      <c r="H716" s="348"/>
      <c r="I716" s="348"/>
      <c r="J716" s="685"/>
      <c r="K716" s="686"/>
      <c r="L716" s="183"/>
      <c r="M716" s="348"/>
      <c r="N716" s="348"/>
      <c r="O716" s="348"/>
      <c r="P716" s="348"/>
      <c r="Q716" s="348"/>
      <c r="R716" s="581" t="s">
        <v>1751</v>
      </c>
      <c r="S716" s="581" t="s">
        <v>2619</v>
      </c>
      <c r="AA716" s="1332"/>
    </row>
    <row r="717" spans="6:27" ht="10.5" customHeight="1">
      <c r="F717" s="371"/>
      <c r="G717" s="348"/>
      <c r="H717" s="348"/>
      <c r="I717" s="348"/>
      <c r="J717" s="685"/>
      <c r="K717" s="686"/>
      <c r="L717" s="183"/>
      <c r="M717" s="348"/>
      <c r="N717" s="348"/>
      <c r="O717" s="348"/>
      <c r="P717" s="348"/>
      <c r="Q717" s="348"/>
      <c r="R717" s="581" t="s">
        <v>1752</v>
      </c>
      <c r="S717" s="581" t="s">
        <v>2322</v>
      </c>
      <c r="AA717" s="1332"/>
    </row>
    <row r="718" spans="6:27" ht="10.5" customHeight="1">
      <c r="F718" s="371"/>
      <c r="G718" s="348"/>
      <c r="H718" s="348"/>
      <c r="I718" s="348"/>
      <c r="J718" s="685"/>
      <c r="K718" s="686"/>
      <c r="L718" s="183"/>
      <c r="M718" s="348"/>
      <c r="N718" s="348"/>
      <c r="O718" s="348"/>
      <c r="P718" s="348"/>
      <c r="Q718" s="348"/>
      <c r="R718" s="581" t="s">
        <v>1753</v>
      </c>
      <c r="S718" s="581" t="s">
        <v>1727</v>
      </c>
      <c r="AA718" s="1332"/>
    </row>
    <row r="719" spans="6:27" ht="10.5" customHeight="1">
      <c r="F719" s="371"/>
      <c r="G719" s="348"/>
      <c r="H719" s="348"/>
      <c r="I719" s="348"/>
      <c r="J719" s="685"/>
      <c r="K719" s="686"/>
      <c r="L719" s="183"/>
      <c r="M719" s="348"/>
      <c r="N719" s="348"/>
      <c r="O719" s="348"/>
      <c r="P719" s="348"/>
      <c r="Q719" s="348"/>
      <c r="R719" s="581" t="s">
        <v>1754</v>
      </c>
      <c r="S719" s="581" t="s">
        <v>164</v>
      </c>
      <c r="AA719" s="1332"/>
    </row>
    <row r="720" spans="6:27" ht="10.5" customHeight="1">
      <c r="F720" s="371"/>
      <c r="G720" s="348"/>
      <c r="H720" s="348"/>
      <c r="I720" s="348"/>
      <c r="J720" s="685"/>
      <c r="K720" s="686"/>
      <c r="L720" s="183"/>
      <c r="M720" s="348"/>
      <c r="N720" s="348"/>
      <c r="O720" s="348"/>
      <c r="P720" s="348"/>
      <c r="Q720" s="348"/>
      <c r="R720" s="581" t="s">
        <v>1755</v>
      </c>
      <c r="S720" s="581" t="s">
        <v>683</v>
      </c>
      <c r="AA720" s="1332"/>
    </row>
    <row r="721" spans="6:27" ht="10.5" customHeight="1">
      <c r="F721" s="371"/>
      <c r="G721" s="348"/>
      <c r="H721" s="348"/>
      <c r="I721" s="348"/>
      <c r="J721" s="685"/>
      <c r="K721" s="686"/>
      <c r="L721" s="183"/>
      <c r="M721" s="348"/>
      <c r="N721" s="348"/>
      <c r="O721" s="348"/>
      <c r="P721" s="348"/>
      <c r="Q721" s="348"/>
      <c r="R721" s="581" t="s">
        <v>1756</v>
      </c>
      <c r="S721" s="581" t="s">
        <v>987</v>
      </c>
      <c r="AA721" s="1332"/>
    </row>
    <row r="722" spans="6:27" ht="10.5" customHeight="1">
      <c r="F722" s="371"/>
      <c r="G722" s="348"/>
      <c r="H722" s="348"/>
      <c r="I722" s="348"/>
      <c r="J722" s="685"/>
      <c r="K722" s="686"/>
      <c r="L722" s="183"/>
      <c r="M722" s="348"/>
      <c r="N722" s="348"/>
      <c r="O722" s="348"/>
      <c r="P722" s="348"/>
      <c r="Q722" s="348"/>
      <c r="R722" s="581" t="s">
        <v>1757</v>
      </c>
      <c r="S722" s="581" t="s">
        <v>1252</v>
      </c>
      <c r="AA722" s="1332"/>
    </row>
    <row r="723" spans="6:27" ht="10.5" customHeight="1">
      <c r="F723" s="371"/>
      <c r="G723" s="348"/>
      <c r="H723" s="348"/>
      <c r="I723" s="348"/>
      <c r="J723" s="685"/>
      <c r="K723" s="686"/>
      <c r="L723" s="183"/>
      <c r="M723" s="348"/>
      <c r="N723" s="348"/>
      <c r="O723" s="348"/>
      <c r="P723" s="348"/>
      <c r="Q723" s="348"/>
      <c r="R723" s="581" t="s">
        <v>1758</v>
      </c>
      <c r="S723" s="581" t="s">
        <v>697</v>
      </c>
      <c r="AA723" s="1332"/>
    </row>
    <row r="724" spans="6:27" ht="10.5" customHeight="1">
      <c r="F724" s="371"/>
      <c r="G724" s="348"/>
      <c r="H724" s="348"/>
      <c r="I724" s="348"/>
      <c r="J724" s="685"/>
      <c r="K724" s="686"/>
      <c r="L724" s="183"/>
      <c r="M724" s="348"/>
      <c r="N724" s="348"/>
      <c r="O724" s="348"/>
      <c r="P724" s="348"/>
      <c r="Q724" s="348"/>
      <c r="R724" s="682" t="s">
        <v>1116</v>
      </c>
      <c r="S724" s="682" t="s">
        <v>1727</v>
      </c>
      <c r="AA724" s="1332"/>
    </row>
    <row r="725" spans="6:27" ht="10.5" customHeight="1">
      <c r="F725" s="371"/>
      <c r="G725" s="348"/>
      <c r="H725" s="348"/>
      <c r="I725" s="348"/>
      <c r="J725" s="685"/>
      <c r="K725" s="686"/>
      <c r="L725" s="183"/>
      <c r="M725" s="348"/>
      <c r="N725" s="348"/>
      <c r="O725" s="348"/>
      <c r="P725" s="348"/>
      <c r="Q725" s="348"/>
      <c r="R725" s="581" t="s">
        <v>1759</v>
      </c>
      <c r="S725" s="581" t="s">
        <v>189</v>
      </c>
      <c r="AA725" s="1333"/>
    </row>
    <row r="726" spans="6:27" ht="10.5" customHeight="1">
      <c r="F726" s="371"/>
      <c r="G726" s="348"/>
      <c r="H726" s="348"/>
      <c r="I726" s="348"/>
      <c r="J726" s="685"/>
      <c r="K726" s="686"/>
      <c r="L726" s="183"/>
      <c r="M726" s="348"/>
      <c r="N726" s="348"/>
      <c r="O726" s="348"/>
      <c r="P726" s="348"/>
      <c r="Q726" s="348"/>
      <c r="R726" s="581" t="s">
        <v>1760</v>
      </c>
      <c r="S726" s="581" t="s">
        <v>180</v>
      </c>
      <c r="AA726" s="1332"/>
    </row>
    <row r="727" spans="6:27" ht="10.5" customHeight="1">
      <c r="F727" s="371"/>
      <c r="G727" s="348"/>
      <c r="H727" s="348"/>
      <c r="I727" s="348"/>
      <c r="J727" s="685"/>
      <c r="K727" s="686"/>
      <c r="L727" s="183"/>
      <c r="M727" s="348"/>
      <c r="N727" s="348"/>
      <c r="O727" s="348"/>
      <c r="P727" s="348"/>
      <c r="Q727" s="348"/>
      <c r="R727" s="581" t="s">
        <v>1761</v>
      </c>
      <c r="S727" s="581" t="s">
        <v>2024</v>
      </c>
      <c r="AA727" s="1332"/>
    </row>
    <row r="728" spans="6:27" ht="10.5" customHeight="1">
      <c r="F728" s="371"/>
      <c r="G728" s="348"/>
      <c r="H728" s="348"/>
      <c r="I728" s="348"/>
      <c r="J728" s="685"/>
      <c r="K728" s="686"/>
      <c r="L728" s="183"/>
      <c r="M728" s="348"/>
      <c r="N728" s="348"/>
      <c r="O728" s="348"/>
      <c r="P728" s="348"/>
      <c r="Q728" s="348"/>
      <c r="R728" s="682" t="s">
        <v>1762</v>
      </c>
      <c r="S728" s="682" t="s">
        <v>164</v>
      </c>
      <c r="AA728" s="1332"/>
    </row>
    <row r="729" spans="6:27" ht="10.5" customHeight="1">
      <c r="F729" s="371"/>
      <c r="G729" s="348"/>
      <c r="H729" s="348"/>
      <c r="I729" s="348"/>
      <c r="J729" s="685"/>
      <c r="K729" s="686"/>
      <c r="L729" s="183"/>
      <c r="M729" s="348"/>
      <c r="N729" s="348"/>
      <c r="O729" s="348"/>
      <c r="P729" s="348"/>
      <c r="Q729" s="348"/>
      <c r="R729" s="581" t="s">
        <v>1763</v>
      </c>
      <c r="S729" s="581" t="s">
        <v>1983</v>
      </c>
      <c r="AA729" s="1333"/>
    </row>
    <row r="730" spans="6:27" ht="10.5" customHeight="1">
      <c r="F730" s="371"/>
      <c r="G730" s="348"/>
      <c r="H730" s="348"/>
      <c r="I730" s="348"/>
      <c r="J730" s="685"/>
      <c r="K730" s="686"/>
      <c r="L730" s="183"/>
      <c r="M730" s="348"/>
      <c r="N730" s="348"/>
      <c r="O730" s="348"/>
      <c r="P730" s="348"/>
      <c r="Q730" s="348"/>
      <c r="R730" s="581" t="s">
        <v>1764</v>
      </c>
      <c r="S730" s="581" t="s">
        <v>1378</v>
      </c>
      <c r="AA730" s="1332"/>
    </row>
    <row r="731" spans="6:27" ht="10.5" customHeight="1">
      <c r="F731" s="371"/>
      <c r="G731" s="348"/>
      <c r="H731" s="348"/>
      <c r="I731" s="348"/>
      <c r="J731" s="685"/>
      <c r="K731" s="686"/>
      <c r="L731" s="183"/>
      <c r="M731" s="348"/>
      <c r="N731" s="348"/>
      <c r="O731" s="348"/>
      <c r="P731" s="348"/>
      <c r="Q731" s="348"/>
      <c r="R731" s="581" t="s">
        <v>1765</v>
      </c>
      <c r="S731" s="581" t="s">
        <v>987</v>
      </c>
      <c r="AA731" s="1332"/>
    </row>
    <row r="732" spans="6:27" ht="10.5" customHeight="1">
      <c r="F732" s="371"/>
      <c r="G732" s="348"/>
      <c r="H732" s="348"/>
      <c r="I732" s="348"/>
      <c r="J732" s="685"/>
      <c r="K732" s="686"/>
      <c r="L732" s="183"/>
      <c r="M732" s="348"/>
      <c r="N732" s="348"/>
      <c r="O732" s="348"/>
      <c r="P732" s="348"/>
      <c r="Q732" s="348"/>
      <c r="R732" s="581" t="s">
        <v>1766</v>
      </c>
      <c r="S732" s="581" t="s">
        <v>763</v>
      </c>
      <c r="AA732" s="1332"/>
    </row>
    <row r="733" spans="6:27" ht="10.5" customHeight="1">
      <c r="F733" s="371"/>
      <c r="G733" s="348"/>
      <c r="H733" s="348"/>
      <c r="I733" s="348"/>
      <c r="J733" s="685"/>
      <c r="K733" s="686"/>
      <c r="L733" s="183"/>
      <c r="M733" s="348"/>
      <c r="N733" s="348"/>
      <c r="O733" s="348"/>
      <c r="P733" s="348"/>
      <c r="Q733" s="348"/>
      <c r="R733" s="581" t="s">
        <v>1117</v>
      </c>
      <c r="S733" s="581" t="s">
        <v>2572</v>
      </c>
      <c r="AA733" s="1332"/>
    </row>
    <row r="734" spans="6:27" ht="10.5" customHeight="1">
      <c r="F734" s="371"/>
      <c r="G734" s="348"/>
      <c r="H734" s="348"/>
      <c r="I734" s="348"/>
      <c r="J734" s="685"/>
      <c r="K734" s="686"/>
      <c r="L734" s="183"/>
      <c r="M734" s="348"/>
      <c r="N734" s="348"/>
      <c r="O734" s="348"/>
      <c r="P734" s="348"/>
      <c r="Q734" s="348"/>
      <c r="R734" s="581" t="s">
        <v>1767</v>
      </c>
      <c r="S734" s="581" t="s">
        <v>327</v>
      </c>
      <c r="AA734" s="1332"/>
    </row>
    <row r="735" spans="6:27" ht="10.5" customHeight="1">
      <c r="F735" s="371"/>
      <c r="G735" s="348"/>
      <c r="H735" s="348"/>
      <c r="I735" s="348"/>
      <c r="J735" s="685"/>
      <c r="K735" s="686"/>
      <c r="L735" s="183"/>
      <c r="M735" s="348"/>
      <c r="N735" s="348"/>
      <c r="O735" s="348"/>
      <c r="P735" s="348"/>
      <c r="Q735" s="348"/>
      <c r="R735" s="581" t="s">
        <v>1768</v>
      </c>
      <c r="S735" s="581" t="s">
        <v>341</v>
      </c>
      <c r="AA735" s="1332"/>
    </row>
    <row r="736" spans="6:27" ht="10.5" customHeight="1">
      <c r="F736" s="371"/>
      <c r="G736" s="348"/>
      <c r="H736" s="348"/>
      <c r="I736" s="348"/>
      <c r="J736" s="685"/>
      <c r="K736" s="686"/>
      <c r="L736" s="183"/>
      <c r="M736" s="348"/>
      <c r="N736" s="348"/>
      <c r="O736" s="348"/>
      <c r="P736" s="348"/>
      <c r="Q736" s="348"/>
      <c r="R736" s="581" t="s">
        <v>1769</v>
      </c>
      <c r="S736" s="581" t="s">
        <v>169</v>
      </c>
      <c r="AA736" s="1332"/>
    </row>
    <row r="737" spans="6:27" ht="10.5" customHeight="1">
      <c r="F737" s="371"/>
      <c r="G737" s="348"/>
      <c r="H737" s="348"/>
      <c r="I737" s="348"/>
      <c r="J737" s="685"/>
      <c r="K737" s="686"/>
      <c r="L737" s="183"/>
      <c r="M737" s="348"/>
      <c r="N737" s="348"/>
      <c r="O737" s="348"/>
      <c r="P737" s="348"/>
      <c r="Q737" s="348"/>
      <c r="R737" s="581" t="s">
        <v>1770</v>
      </c>
      <c r="S737" s="581" t="s">
        <v>2084</v>
      </c>
      <c r="AA737" s="1332"/>
    </row>
    <row r="738" spans="6:27" ht="10.5" customHeight="1">
      <c r="F738" s="371"/>
      <c r="G738" s="348"/>
      <c r="H738" s="348"/>
      <c r="I738" s="348"/>
      <c r="J738" s="685"/>
      <c r="K738" s="686"/>
      <c r="L738" s="183"/>
      <c r="M738" s="348"/>
      <c r="N738" s="348"/>
      <c r="O738" s="348"/>
      <c r="P738" s="348"/>
      <c r="Q738" s="348"/>
      <c r="R738" s="581" t="s">
        <v>1771</v>
      </c>
      <c r="S738" s="581" t="s">
        <v>1512</v>
      </c>
      <c r="AA738" s="1332"/>
    </row>
    <row r="739" spans="6:27" ht="10.5" customHeight="1">
      <c r="F739" s="371"/>
      <c r="G739" s="348"/>
      <c r="H739" s="348"/>
      <c r="I739" s="348"/>
      <c r="J739" s="685"/>
      <c r="K739" s="686"/>
      <c r="L739" s="183"/>
      <c r="M739" s="348"/>
      <c r="N739" s="348"/>
      <c r="O739" s="348"/>
      <c r="P739" s="348"/>
      <c r="Q739" s="348"/>
      <c r="R739" s="581" t="s">
        <v>1772</v>
      </c>
      <c r="S739" s="581" t="s">
        <v>1952</v>
      </c>
      <c r="AA739" s="1332"/>
    </row>
    <row r="740" spans="6:27" ht="10.5" customHeight="1">
      <c r="F740" s="371"/>
      <c r="G740" s="348"/>
      <c r="H740" s="348"/>
      <c r="I740" s="348"/>
      <c r="J740" s="685"/>
      <c r="K740" s="686"/>
      <c r="L740" s="183"/>
      <c r="M740" s="348"/>
      <c r="N740" s="348"/>
      <c r="O740" s="348"/>
      <c r="P740" s="348"/>
      <c r="Q740" s="348"/>
      <c r="R740" s="581" t="s">
        <v>1773</v>
      </c>
      <c r="S740" s="581" t="s">
        <v>333</v>
      </c>
      <c r="AA740" s="1332"/>
    </row>
    <row r="741" spans="6:27" ht="10.5" customHeight="1">
      <c r="F741" s="371"/>
      <c r="G741" s="348"/>
      <c r="H741" s="348"/>
      <c r="I741" s="348"/>
      <c r="J741" s="685"/>
      <c r="K741" s="686"/>
      <c r="L741" s="183"/>
      <c r="M741" s="348"/>
      <c r="N741" s="348"/>
      <c r="O741" s="348"/>
      <c r="P741" s="348"/>
      <c r="Q741" s="348"/>
      <c r="R741" s="581" t="s">
        <v>1774</v>
      </c>
      <c r="S741" s="581" t="s">
        <v>106</v>
      </c>
      <c r="AA741" s="1332"/>
    </row>
    <row r="742" spans="6:27" ht="10.5" customHeight="1">
      <c r="F742" s="371"/>
      <c r="G742" s="348"/>
      <c r="H742" s="348"/>
      <c r="I742" s="348"/>
      <c r="J742" s="685"/>
      <c r="K742" s="686"/>
      <c r="L742" s="183"/>
      <c r="M742" s="348"/>
      <c r="N742" s="348"/>
      <c r="O742" s="348"/>
      <c r="P742" s="348"/>
      <c r="Q742" s="348"/>
      <c r="R742" s="433" t="s">
        <v>306</v>
      </c>
      <c r="S742" s="433" t="s">
        <v>2486</v>
      </c>
      <c r="AA742" s="1332"/>
    </row>
    <row r="743" spans="6:27" ht="10.5" customHeight="1">
      <c r="F743" s="371"/>
      <c r="G743" s="348"/>
      <c r="H743" s="348"/>
      <c r="I743" s="348"/>
      <c r="J743" s="685"/>
      <c r="K743" s="686"/>
      <c r="L743" s="183"/>
      <c r="M743" s="348"/>
      <c r="N743" s="348"/>
      <c r="O743" s="348"/>
      <c r="P743" s="348"/>
      <c r="Q743" s="348"/>
      <c r="R743" s="581" t="s">
        <v>108</v>
      </c>
      <c r="S743" s="581" t="s">
        <v>2482</v>
      </c>
      <c r="AA743" s="95"/>
    </row>
    <row r="744" spans="6:27" ht="10.5" customHeight="1">
      <c r="F744" s="371"/>
      <c r="G744" s="348"/>
      <c r="H744" s="348"/>
      <c r="I744" s="348"/>
      <c r="J744" s="685"/>
      <c r="K744" s="686"/>
      <c r="L744" s="183"/>
      <c r="M744" s="348"/>
      <c r="N744" s="348"/>
      <c r="O744" s="348"/>
      <c r="P744" s="348"/>
      <c r="Q744" s="348"/>
      <c r="R744" s="581" t="s">
        <v>307</v>
      </c>
      <c r="S744" s="433" t="s">
        <v>2678</v>
      </c>
      <c r="AA744" s="1332"/>
    </row>
    <row r="745" spans="6:27" ht="10.5" customHeight="1">
      <c r="F745" s="371"/>
      <c r="G745" s="348"/>
      <c r="H745" s="348"/>
      <c r="I745" s="348"/>
      <c r="J745" s="685"/>
      <c r="K745" s="686"/>
      <c r="L745" s="183"/>
      <c r="M745" s="348"/>
      <c r="N745" s="348"/>
      <c r="O745" s="348"/>
      <c r="P745" s="348"/>
      <c r="Q745" s="348"/>
      <c r="R745" s="433" t="s">
        <v>308</v>
      </c>
      <c r="S745" s="433" t="s">
        <v>328</v>
      </c>
      <c r="AA745" s="1332"/>
    </row>
    <row r="746" spans="6:27" ht="10.5" customHeight="1">
      <c r="F746" s="371"/>
      <c r="G746" s="348"/>
      <c r="H746" s="348"/>
      <c r="I746" s="348"/>
      <c r="J746" s="685"/>
      <c r="K746" s="686"/>
      <c r="L746" s="183"/>
      <c r="M746" s="348"/>
      <c r="N746" s="348"/>
      <c r="O746" s="348"/>
      <c r="P746" s="348"/>
      <c r="Q746" s="348"/>
      <c r="R746" s="433" t="s">
        <v>309</v>
      </c>
      <c r="S746" s="433" t="s">
        <v>2085</v>
      </c>
      <c r="AA746" s="95"/>
    </row>
    <row r="747" spans="6:27" ht="10.5" customHeight="1">
      <c r="F747" s="371"/>
      <c r="G747" s="348"/>
      <c r="H747" s="348"/>
      <c r="I747" s="348"/>
      <c r="J747" s="685"/>
      <c r="K747" s="686"/>
      <c r="L747" s="183"/>
      <c r="M747" s="348"/>
      <c r="N747" s="348"/>
      <c r="O747" s="348"/>
      <c r="P747" s="348"/>
      <c r="Q747" s="348"/>
      <c r="R747" s="433" t="s">
        <v>310</v>
      </c>
      <c r="S747" s="433" t="s">
        <v>1378</v>
      </c>
      <c r="AA747" s="95"/>
    </row>
    <row r="748" spans="6:27" ht="10.5" customHeight="1">
      <c r="F748" s="371"/>
      <c r="G748" s="348"/>
      <c r="H748" s="348"/>
      <c r="I748" s="348"/>
      <c r="J748" s="685"/>
      <c r="K748" s="686"/>
      <c r="L748" s="183"/>
      <c r="M748" s="348"/>
      <c r="N748" s="348"/>
      <c r="O748" s="348"/>
      <c r="P748" s="348"/>
      <c r="Q748" s="348"/>
      <c r="R748" s="433" t="s">
        <v>311</v>
      </c>
      <c r="S748" s="433" t="s">
        <v>1989</v>
      </c>
      <c r="AA748" s="95"/>
    </row>
    <row r="749" spans="6:27" ht="10.5" customHeight="1">
      <c r="F749" s="371"/>
      <c r="G749" s="348"/>
      <c r="H749" s="348"/>
      <c r="I749" s="348"/>
      <c r="J749" s="685"/>
      <c r="K749" s="686"/>
      <c r="L749" s="183"/>
      <c r="M749" s="348"/>
      <c r="N749" s="348"/>
      <c r="O749" s="348"/>
      <c r="P749" s="348"/>
      <c r="Q749" s="348"/>
      <c r="R749" s="433" t="s">
        <v>312</v>
      </c>
      <c r="S749" s="433" t="s">
        <v>112</v>
      </c>
      <c r="AA749" s="95"/>
    </row>
    <row r="750" spans="6:27" ht="10.5" customHeight="1">
      <c r="F750" s="371"/>
      <c r="G750" s="348"/>
      <c r="H750" s="348"/>
      <c r="I750" s="348"/>
      <c r="J750" s="685"/>
      <c r="K750" s="686"/>
      <c r="L750" s="183"/>
      <c r="M750" s="348"/>
      <c r="N750" s="348"/>
      <c r="O750" s="348"/>
      <c r="P750" s="348"/>
      <c r="Q750" s="348"/>
      <c r="R750" s="433" t="s">
        <v>313</v>
      </c>
      <c r="S750" s="433" t="s">
        <v>695</v>
      </c>
      <c r="AA750" s="95"/>
    </row>
    <row r="751" spans="6:27" ht="10.5" customHeight="1">
      <c r="F751" s="371"/>
      <c r="G751" s="348"/>
      <c r="H751" s="348"/>
      <c r="I751" s="348"/>
      <c r="J751" s="685"/>
      <c r="K751" s="686"/>
      <c r="L751" s="183"/>
      <c r="M751" s="348"/>
      <c r="N751" s="348"/>
      <c r="O751" s="348"/>
      <c r="P751" s="348"/>
      <c r="Q751" s="348"/>
      <c r="R751" s="433" t="s">
        <v>116</v>
      </c>
      <c r="S751" s="433" t="s">
        <v>1363</v>
      </c>
      <c r="AA751" s="95"/>
    </row>
    <row r="752" spans="6:27" ht="10.5" customHeight="1">
      <c r="F752" s="371"/>
      <c r="G752" s="348"/>
      <c r="H752" s="348"/>
      <c r="I752" s="348"/>
      <c r="J752" s="685"/>
      <c r="K752" s="686"/>
      <c r="L752" s="183"/>
      <c r="M752" s="348"/>
      <c r="N752" s="348"/>
      <c r="O752" s="348"/>
      <c r="P752" s="348"/>
      <c r="Q752" s="348"/>
      <c r="R752" s="433" t="s">
        <v>1596</v>
      </c>
      <c r="S752" s="433" t="s">
        <v>697</v>
      </c>
      <c r="AA752" s="95"/>
    </row>
    <row r="753" spans="6:27" ht="10.5" customHeight="1">
      <c r="F753" s="371"/>
      <c r="G753" s="348"/>
      <c r="H753" s="348"/>
      <c r="I753" s="348"/>
      <c r="J753" s="685"/>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3017</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5"/>
      <c r="S772" s="485"/>
      <c r="AA772" s="95"/>
    </row>
    <row r="773" spans="6:27" ht="10.5" customHeight="1">
      <c r="R773" s="485"/>
      <c r="S773" s="485"/>
    </row>
    <row r="774" spans="6:27" ht="10.5" customHeight="1">
      <c r="R774" s="485"/>
      <c r="S774" s="485"/>
    </row>
    <row r="775" spans="6:27" ht="10.5" customHeight="1">
      <c r="R775" s="485"/>
      <c r="S775" s="485"/>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eTkI2GmGak4bIVQo7WHhPsm4ZjEiZZgEeRJi4zomCTxoHYfJFURcRXdtODpa2Y1ii1GyMPk4soMsFXas487TGw==" saltValue="fcS2hyPiEWztxRIl2TZQwg=="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0" workbookViewId="0">
      <selection activeCell="B1045" sqref="B1045:F1061"/>
    </sheetView>
  </sheetViews>
  <sheetFormatPr defaultRowHeight="12.75"/>
  <cols>
    <col min="1" max="7" width="9.28515625" style="531" bestFit="1" customWidth="1"/>
    <col min="8" max="8" width="12.140625" style="531" bestFit="1" customWidth="1"/>
    <col min="9" max="9" width="14.28515625" style="531" bestFit="1" customWidth="1"/>
    <col min="10" max="11" width="9.28515625" style="531" bestFit="1" customWidth="1"/>
    <col min="12" max="12" width="12.7109375" style="531" bestFit="1" customWidth="1"/>
    <col min="13" max="14" width="9.28515625" style="531" bestFit="1" customWidth="1"/>
    <col min="15" max="15" width="12.140625" style="531" bestFit="1" customWidth="1"/>
    <col min="16" max="16" width="12.7109375" style="531" bestFit="1" customWidth="1"/>
    <col min="17" max="278" width="9.28515625" style="531" bestFit="1" customWidth="1"/>
    <col min="279" max="16384" width="9.140625" style="531"/>
  </cols>
  <sheetData>
    <row r="1" spans="1:1" ht="15.75">
      <c r="A1" s="1410" t="s">
        <v>1015</v>
      </c>
    </row>
    <row r="2" spans="1:1" ht="16.5">
      <c r="A2" s="1411" t="str">
        <f>'Part I-Project Information'!F24</f>
        <v>Wheat Street Tower</v>
      </c>
    </row>
    <row r="3" spans="1:1" ht="16.5">
      <c r="A3" s="1411" t="str">
        <f>CONCATENATE('Part I-Project Information'!F28,", ", 'Part I-Project Information'!J29," County")</f>
        <v>Atlanta, Fulton County</v>
      </c>
    </row>
    <row r="5" spans="1:1" ht="12.75" customHeight="1">
      <c r="A5" s="1412" t="str">
        <f>'Project Narrative'!A5</f>
        <v>The proposed affordable senior (62 and older) project, Wheat Street Towers, is an existing 208-unit multi-family development built in 1978.
The Benoit Group Development Company is currently working closely with WSCF Development, LLC, the development arm of the Wheat Street Charitable Foundation, to renovate Wheat Street Towers to be a 208-unit low income (as defined by the Department of Housing and Urban Development) elderly and disabled persons development, built in 1978 and located approximately 2 miles from Interstate 75 on Auburn Avenue.  The project is currently owned by Wheat Street Towers, LLC.
The project will have the existing HAP contract extended and modified for seniors only for all 208 units and utilize tax credit equity and conventional debt to renovate the property at approximately $47K per unit.  The 208 units will consist of a unit mix of twenty-six (26) IBR/1BA efficiency units, and one hundred eighty-two units (182) 1BR/1BA units.  Wheat Street Towers’ Census Tract (0028.00) is located in a low income, high minority concentration, with 60% poverty per the FFIEC data (see attached).  The proposed Borrower Entity will be The New Wheat Street Towers, L.P.
Residential, retail and commercial establishments are the predominate land use in the site’s immediate area, which includes grocery stores, restaurants, automotive related businesses, banks, offices, and consumer goods retailers.  In close proximity one will also find transportation options and extensive services including the new Atlanta Street Car.
The Project will offer a variety of services to residents on-site.  These services will include planned social and recreational activities and monthly classes, such as arts and crafts, computer training, and exercise.
Planned amenities include upgraded laundry facilities and exercise room.  The project will also have a computer center and a courtyard with various gazebos and sitting areas.
SECURITY, SAFETY, AND PRIVACY
Because safety and security is a concern for the residents, Wheat Street Tower will focus on some of the exterior amenities that include controlled access into the community and a security system with cameras.</v>
      </c>
    </row>
    <row r="6" spans="1:1">
      <c r="A6" s="1412"/>
    </row>
    <row r="7" spans="1:1">
      <c r="A7" s="1412"/>
    </row>
    <row r="8" spans="1:1">
      <c r="A8" s="1412"/>
    </row>
    <row r="9" spans="1:1">
      <c r="A9" s="1412"/>
    </row>
    <row r="10" spans="1:1">
      <c r="A10" s="1412"/>
    </row>
    <row r="11" spans="1:1">
      <c r="A11" s="1412"/>
    </row>
    <row r="12" spans="1:1">
      <c r="A12" s="1412"/>
    </row>
    <row r="13" spans="1:1">
      <c r="A13" s="1412"/>
    </row>
    <row r="14" spans="1:1">
      <c r="A14" s="1412"/>
    </row>
    <row r="15" spans="1:1">
      <c r="A15" s="1412"/>
    </row>
    <row r="16" spans="1:1">
      <c r="A16" s="1412"/>
    </row>
    <row r="17" spans="1:16">
      <c r="A17" s="1412"/>
    </row>
    <row r="18" spans="1:16">
      <c r="A18" s="1412"/>
    </row>
    <row r="19" spans="1:16">
      <c r="A19" s="1412"/>
    </row>
    <row r="20" spans="1:16">
      <c r="A20" s="1412"/>
    </row>
    <row r="21" spans="1:16">
      <c r="A21" s="1412"/>
    </row>
    <row r="22" spans="1:16">
      <c r="A22" s="1412"/>
    </row>
    <row r="23" spans="1:16">
      <c r="A23" s="1412"/>
    </row>
    <row r="26" spans="1:16">
      <c r="A26" s="340" t="str">
        <f>CONCATENATE("DRAFT PART ONE - PROJECT INFORMATION"," - ",$O$4," ",$F$24,", ",'Part I-Project Information'!F53,", ",'Part I-Project Information'!J54," County")</f>
        <v>DRAFT PART ONE - PROJECT INFORMATION -  , ,  County</v>
      </c>
      <c r="B26" s="340"/>
      <c r="C26" s="340"/>
      <c r="D26" s="340"/>
      <c r="E26" s="340"/>
      <c r="F26" s="340"/>
      <c r="G26" s="340"/>
      <c r="H26" s="340"/>
      <c r="I26" s="340"/>
      <c r="J26" s="340"/>
      <c r="K26" s="340"/>
      <c r="L26" s="340"/>
      <c r="M26" s="340"/>
      <c r="N26" s="340"/>
      <c r="O26" s="340"/>
      <c r="P26" s="340"/>
    </row>
    <row r="27" spans="1:16">
      <c r="A27" s="1174"/>
      <c r="B27" s="1174"/>
      <c r="C27" s="1174"/>
      <c r="D27" s="1174"/>
      <c r="E27" s="1174"/>
      <c r="F27" s="1174"/>
      <c r="G27" s="1174"/>
      <c r="H27" s="1174"/>
      <c r="I27" s="1174"/>
      <c r="J27" s="1174"/>
      <c r="K27" s="1174"/>
      <c r="L27" s="1174"/>
      <c r="M27" s="1174"/>
      <c r="N27" s="1174"/>
      <c r="O27" s="1174"/>
      <c r="P27" s="1174"/>
    </row>
    <row r="28" spans="1:16" ht="13.5">
      <c r="A28" s="1391"/>
      <c r="B28" s="296" t="s">
        <v>2447</v>
      </c>
      <c r="C28" s="1391"/>
      <c r="D28" s="1391"/>
      <c r="E28" s="1391"/>
      <c r="F28" s="1174"/>
      <c r="G28" s="298" t="s">
        <v>458</v>
      </c>
      <c r="H28" s="1391"/>
      <c r="I28" s="1391"/>
      <c r="J28" s="1391"/>
      <c r="K28" s="1391"/>
      <c r="L28" s="1174"/>
      <c r="M28" s="1391"/>
      <c r="N28" s="1391"/>
      <c r="O28" s="340" t="s">
        <v>2779</v>
      </c>
      <c r="P28" s="340"/>
    </row>
    <row r="29" spans="1:16" ht="13.5">
      <c r="A29" s="1174"/>
      <c r="B29" s="340"/>
      <c r="C29" s="1391"/>
      <c r="D29" s="1391"/>
      <c r="E29" s="1391"/>
      <c r="F29" s="1174"/>
      <c r="G29" s="298" t="s">
        <v>459</v>
      </c>
      <c r="H29" s="1394"/>
      <c r="I29" s="1394"/>
      <c r="J29" s="1394"/>
      <c r="K29" s="1391"/>
      <c r="L29" s="1391"/>
      <c r="M29" s="1391"/>
      <c r="N29" s="1391"/>
      <c r="O29" s="340" t="str">
        <f>'Part I-Project Information'!O4</f>
        <v>2016-524</v>
      </c>
      <c r="P29" s="340"/>
    </row>
    <row r="30" spans="1:16">
      <c r="A30" s="1174"/>
      <c r="B30" s="340" t="str">
        <f>'Part I-Project Information'!B5</f>
        <v>May 2016 Revision v6</v>
      </c>
      <c r="C30" s="340"/>
      <c r="D30" s="573"/>
      <c r="E30" s="1391"/>
      <c r="F30" s="340"/>
      <c r="G30" s="573" t="s">
        <v>3503</v>
      </c>
      <c r="H30" s="1394"/>
      <c r="I30" s="1394"/>
      <c r="J30" s="1394"/>
      <c r="K30" s="1391"/>
      <c r="L30" s="1391"/>
      <c r="M30" s="1391"/>
      <c r="N30" s="1391"/>
      <c r="O30" s="1391"/>
      <c r="P30" s="1391"/>
    </row>
    <row r="31" spans="1:16">
      <c r="A31" s="1174"/>
      <c r="B31" s="340"/>
      <c r="C31" s="340"/>
      <c r="D31" s="340"/>
      <c r="E31" s="1394"/>
      <c r="F31" s="1391"/>
      <c r="G31" s="1391"/>
      <c r="H31" s="1394"/>
      <c r="I31" s="1394"/>
      <c r="J31" s="1394"/>
      <c r="K31" s="296"/>
      <c r="L31" s="1391"/>
      <c r="M31" s="1394"/>
      <c r="N31" s="1391"/>
      <c r="O31" s="1391"/>
      <c r="P31" s="1391"/>
    </row>
    <row r="32" spans="1:16">
      <c r="A32" s="340" t="s">
        <v>640</v>
      </c>
      <c r="B32" s="340" t="s">
        <v>2460</v>
      </c>
      <c r="C32" s="1391"/>
      <c r="D32" s="338"/>
      <c r="E32" s="1394"/>
      <c r="F32" s="1386" t="s">
        <v>1781</v>
      </c>
      <c r="G32" s="1391"/>
      <c r="H32" s="1391"/>
      <c r="I32" s="1391"/>
      <c r="J32" s="1413">
        <f ca="1">'Part I-Project Information'!$J$7</f>
        <v>885891.18223086908</v>
      </c>
      <c r="K32" s="1413"/>
      <c r="L32" s="1391"/>
      <c r="M32" s="1394"/>
      <c r="N32" s="1391"/>
      <c r="O32" s="1391"/>
      <c r="P32" s="1391"/>
    </row>
    <row r="33" spans="1:16">
      <c r="A33" s="10"/>
      <c r="B33" s="10"/>
      <c r="C33" s="533"/>
      <c r="E33" s="484"/>
      <c r="F33" s="1391" t="s">
        <v>1333</v>
      </c>
      <c r="G33" s="533"/>
      <c r="H33" s="533"/>
      <c r="I33" s="533"/>
      <c r="J33" s="1414">
        <f>'Part I-Project Information'!$J$8</f>
        <v>0</v>
      </c>
      <c r="K33" s="1414"/>
      <c r="L33" s="1391"/>
      <c r="M33" s="1394"/>
      <c r="N33" s="1391"/>
      <c r="O33" s="1391"/>
      <c r="P33" s="1391"/>
    </row>
    <row r="34" spans="1:16">
      <c r="A34" s="340"/>
      <c r="B34" s="340"/>
      <c r="C34" s="1391"/>
      <c r="D34" s="338"/>
      <c r="E34" s="1394"/>
      <c r="F34" s="1394"/>
      <c r="G34" s="1391"/>
      <c r="H34" s="1391"/>
      <c r="I34" s="296"/>
      <c r="J34" s="1391"/>
      <c r="K34" s="1391"/>
      <c r="L34" s="1391"/>
      <c r="M34" s="1391"/>
      <c r="N34" s="336"/>
      <c r="O34" s="1391"/>
      <c r="P34" s="1391"/>
    </row>
    <row r="35" spans="1:16" ht="13.5">
      <c r="A35" s="296" t="s">
        <v>770</v>
      </c>
      <c r="B35" s="340" t="s">
        <v>2118</v>
      </c>
      <c r="C35" s="1391"/>
      <c r="D35" s="1391"/>
      <c r="E35" s="1391"/>
      <c r="F35" s="1415" t="str">
        <f>'Part I-Project Information'!F10</f>
        <v>Tax Exempt Bond / 4% credit</v>
      </c>
      <c r="G35" s="1415"/>
      <c r="H35" s="1415"/>
      <c r="I35" s="346"/>
      <c r="J35" s="340" t="s">
        <v>4223</v>
      </c>
      <c r="K35" s="340"/>
      <c r="L35" s="1394"/>
      <c r="M35" s="1391"/>
      <c r="N35" s="1391"/>
      <c r="O35" s="1391" t="str">
        <f>'Part I-Project Information'!O10</f>
        <v>&lt;&lt;Enter Pre-App Nbr&gt;&gt;</v>
      </c>
      <c r="P35" s="1391"/>
    </row>
    <row r="36" spans="1:16" ht="13.5">
      <c r="A36" s="1174"/>
      <c r="B36" s="1391"/>
      <c r="C36" s="1391"/>
      <c r="D36" s="1391"/>
      <c r="E36" s="1391"/>
      <c r="F36" s="1391"/>
      <c r="G36" s="1391"/>
      <c r="H36" s="1394"/>
      <c r="I36" s="1391"/>
      <c r="J36" s="1386" t="s">
        <v>2846</v>
      </c>
      <c r="K36" s="296"/>
      <c r="L36" s="1391"/>
      <c r="M36" s="1394"/>
      <c r="N36" s="1391"/>
      <c r="O36" s="1415" t="str">
        <f>'Part I-Project Information'!O11</f>
        <v>&lt;&lt;Select&gt;&gt;</v>
      </c>
      <c r="P36" s="1415"/>
    </row>
    <row r="37" spans="1:16">
      <c r="A37" s="1391"/>
      <c r="B37" s="1391"/>
      <c r="C37" s="1391"/>
      <c r="D37" s="1391"/>
      <c r="E37" s="1391"/>
      <c r="F37" s="1391"/>
      <c r="G37" s="1391"/>
      <c r="H37" s="1391"/>
      <c r="I37" s="338"/>
      <c r="J37" s="338"/>
      <c r="K37" s="338"/>
      <c r="L37" s="338"/>
      <c r="M37" s="338"/>
      <c r="N37" s="338"/>
      <c r="O37" s="338"/>
      <c r="P37" s="338"/>
    </row>
    <row r="38" spans="1:16">
      <c r="A38" s="296" t="s">
        <v>772</v>
      </c>
      <c r="B38" s="340" t="s">
        <v>1529</v>
      </c>
      <c r="C38" s="1391"/>
      <c r="D38" s="1386"/>
      <c r="E38" s="1394"/>
      <c r="F38" s="1391"/>
      <c r="G38" s="1394"/>
      <c r="H38" s="1394"/>
      <c r="I38" s="1394"/>
      <c r="J38" s="1391"/>
      <c r="K38" s="336"/>
      <c r="L38" s="336"/>
      <c r="M38" s="1391"/>
      <c r="N38" s="1391"/>
      <c r="O38" s="1391"/>
      <c r="P38" s="1391"/>
    </row>
    <row r="39" spans="1:16">
      <c r="A39" s="296"/>
      <c r="B39" s="1394"/>
      <c r="C39" s="340"/>
      <c r="D39" s="1386"/>
      <c r="E39" s="1394"/>
      <c r="F39" s="1391"/>
      <c r="G39" s="1394"/>
      <c r="H39" s="1394"/>
      <c r="I39" s="1394"/>
      <c r="J39" s="1391"/>
      <c r="K39" s="336"/>
      <c r="L39" s="336"/>
      <c r="M39" s="1391"/>
      <c r="N39" s="1391"/>
      <c r="O39" s="1174"/>
      <c r="P39" s="1391"/>
    </row>
    <row r="40" spans="1:16">
      <c r="A40" s="1391"/>
      <c r="B40" s="1391" t="s">
        <v>2381</v>
      </c>
      <c r="C40" s="1391"/>
      <c r="D40" s="1391"/>
      <c r="E40" s="1391"/>
      <c r="F40" s="1391" t="str">
        <f>'Part I-Project Information'!F15</f>
        <v>Sharon D. Guest</v>
      </c>
      <c r="G40" s="1391"/>
      <c r="H40" s="1391"/>
      <c r="I40" s="1391"/>
      <c r="J40" s="1391"/>
      <c r="K40" s="1391"/>
      <c r="L40" s="1391"/>
      <c r="M40" s="1386" t="s">
        <v>2055</v>
      </c>
      <c r="N40" s="1391" t="str">
        <f>'Part I-Project Information'!N15</f>
        <v>Senior Vice President</v>
      </c>
      <c r="O40" s="1391"/>
      <c r="P40" s="1391"/>
    </row>
    <row r="41" spans="1:16">
      <c r="A41" s="1391"/>
      <c r="B41" s="1386" t="s">
        <v>2056</v>
      </c>
      <c r="C41" s="1391"/>
      <c r="D41" s="1391"/>
      <c r="E41" s="1391"/>
      <c r="F41" s="1391" t="str">
        <f>'Part I-Project Information'!F16</f>
        <v>6780 Roswell Road, Suite 200</v>
      </c>
      <c r="G41" s="1391"/>
      <c r="H41" s="1391"/>
      <c r="I41" s="1391"/>
      <c r="J41" s="1391"/>
      <c r="K41" s="1391"/>
      <c r="L41" s="1391"/>
      <c r="M41" s="1386" t="s">
        <v>1787</v>
      </c>
      <c r="N41" s="1391"/>
      <c r="O41" s="1416">
        <f>'Part I-Project Information'!O16</f>
        <v>6785145906</v>
      </c>
      <c r="P41" s="1416"/>
    </row>
    <row r="42" spans="1:16">
      <c r="A42" s="1391"/>
      <c r="B42" s="1386" t="s">
        <v>642</v>
      </c>
      <c r="C42" s="1391"/>
      <c r="D42" s="1391"/>
      <c r="E42" s="1391"/>
      <c r="F42" s="1391" t="str">
        <f>'Part I-Project Information'!F17</f>
        <v>Atlanta</v>
      </c>
      <c r="G42" s="1391"/>
      <c r="H42" s="1391"/>
      <c r="I42" s="1391"/>
      <c r="J42" s="1391"/>
      <c r="K42" s="1391"/>
      <c r="L42" s="1391"/>
      <c r="M42" s="1386" t="s">
        <v>1868</v>
      </c>
      <c r="N42" s="1391"/>
      <c r="O42" s="1416">
        <f>'Part I-Project Information'!O17</f>
        <v>6785145919</v>
      </c>
      <c r="P42" s="1416"/>
    </row>
    <row r="43" spans="1:16">
      <c r="A43" s="1391"/>
      <c r="B43" s="1386" t="s">
        <v>1865</v>
      </c>
      <c r="C43" s="1391"/>
      <c r="D43" s="1391"/>
      <c r="E43" s="1391"/>
      <c r="F43" s="1388" t="str">
        <f>'Part I-Project Information'!F18</f>
        <v>GA</v>
      </c>
      <c r="G43" s="1391"/>
      <c r="H43" s="1391"/>
      <c r="I43" s="1394" t="s">
        <v>2308</v>
      </c>
      <c r="J43" s="1417">
        <f>'Part I-Project Information'!J18</f>
        <v>303282589</v>
      </c>
      <c r="K43" s="1417"/>
      <c r="L43" s="1391"/>
      <c r="M43" s="1386" t="s">
        <v>2054</v>
      </c>
      <c r="N43" s="1391"/>
      <c r="O43" s="1416">
        <f>'Part I-Project Information'!O18</f>
        <v>4043160631</v>
      </c>
      <c r="P43" s="1416"/>
    </row>
    <row r="44" spans="1:16">
      <c r="A44" s="1391"/>
      <c r="B44" s="1386" t="s">
        <v>1786</v>
      </c>
      <c r="C44" s="1391"/>
      <c r="D44" s="1391"/>
      <c r="E44" s="1391"/>
      <c r="F44" s="1416">
        <f>'Part I-Project Information'!F19</f>
        <v>6785145900</v>
      </c>
      <c r="G44" s="1416"/>
      <c r="H44" s="1416"/>
      <c r="I44" s="1394" t="s">
        <v>1785</v>
      </c>
      <c r="J44" s="1394">
        <f>'Part I-Project Information'!J19</f>
        <v>0</v>
      </c>
      <c r="K44" s="1394" t="s">
        <v>2059</v>
      </c>
      <c r="L44" s="1391" t="str">
        <f>'Part I-Project Information'!L19</f>
        <v>sguest@thebenoitgroup.com</v>
      </c>
      <c r="M44" s="1391"/>
      <c r="N44" s="1391"/>
      <c r="O44" s="1391"/>
      <c r="P44" s="1391"/>
    </row>
    <row r="45" spans="1:16" ht="13.5">
      <c r="A45" s="340"/>
      <c r="B45" s="298" t="s">
        <v>679</v>
      </c>
      <c r="C45" s="1391"/>
      <c r="D45" s="1394"/>
      <c r="E45" s="1391"/>
      <c r="F45" s="1391"/>
      <c r="G45" s="1394"/>
      <c r="H45" s="1394"/>
      <c r="I45" s="1394"/>
      <c r="J45" s="1391"/>
      <c r="K45" s="1391"/>
      <c r="L45" s="1391"/>
      <c r="M45" s="1391"/>
      <c r="N45" s="1391"/>
      <c r="O45" s="1391"/>
      <c r="P45" s="1391"/>
    </row>
    <row r="46" spans="1:16">
      <c r="A46" s="1174"/>
      <c r="B46" s="1174"/>
      <c r="C46" s="338"/>
      <c r="D46" s="1391"/>
      <c r="E46" s="1391"/>
      <c r="F46" s="1391"/>
      <c r="G46" s="1391"/>
      <c r="H46" s="1394"/>
      <c r="I46" s="1391"/>
      <c r="J46" s="338"/>
      <c r="K46" s="1391"/>
      <c r="L46" s="1391"/>
      <c r="M46" s="1391"/>
      <c r="N46" s="1391"/>
      <c r="O46" s="1391"/>
      <c r="P46" s="339"/>
    </row>
    <row r="47" spans="1:16">
      <c r="A47" s="296" t="s">
        <v>1858</v>
      </c>
      <c r="B47" s="340" t="s">
        <v>1530</v>
      </c>
      <c r="C47" s="1391"/>
      <c r="D47" s="338"/>
      <c r="E47" s="1394"/>
      <c r="F47" s="1394"/>
      <c r="G47" s="1386"/>
      <c r="H47" s="1394"/>
      <c r="I47" s="1394"/>
      <c r="J47" s="1394"/>
      <c r="K47" s="1391"/>
      <c r="L47" s="336"/>
      <c r="M47" s="336"/>
      <c r="N47" s="1391"/>
      <c r="O47" s="1391"/>
      <c r="P47" s="1391"/>
    </row>
    <row r="48" spans="1:16">
      <c r="A48" s="296"/>
      <c r="B48" s="340"/>
      <c r="C48" s="1391"/>
      <c r="D48" s="338"/>
      <c r="E48" s="1394"/>
      <c r="F48" s="1394"/>
      <c r="G48" s="1386"/>
      <c r="H48" s="1394"/>
      <c r="I48" s="1394"/>
      <c r="J48" s="1394"/>
      <c r="K48" s="1391"/>
      <c r="L48" s="336"/>
      <c r="M48" s="1391"/>
      <c r="N48" s="1391"/>
      <c r="O48" s="1391"/>
      <c r="P48" s="1391"/>
    </row>
    <row r="49" spans="1:16">
      <c r="A49" s="340"/>
      <c r="B49" s="1391" t="s">
        <v>641</v>
      </c>
      <c r="C49" s="1391"/>
      <c r="D49" s="340"/>
      <c r="E49" s="1391"/>
      <c r="F49" s="1418" t="str">
        <f>'Part I-Project Information'!F24</f>
        <v>Wheat Street Tower</v>
      </c>
      <c r="G49" s="1418"/>
      <c r="H49" s="1418"/>
      <c r="I49" s="1418"/>
      <c r="J49" s="1418"/>
      <c r="K49" s="1418"/>
      <c r="L49" s="1386" t="s">
        <v>2271</v>
      </c>
      <c r="M49" s="1391"/>
      <c r="N49" s="1391"/>
      <c r="O49" s="1391" t="str">
        <f>'Part I-Project Information'!O24</f>
        <v>No</v>
      </c>
      <c r="P49" s="1391"/>
    </row>
    <row r="50" spans="1:16">
      <c r="A50" s="1419"/>
      <c r="B50" s="1391" t="s">
        <v>2803</v>
      </c>
      <c r="C50" s="1391"/>
      <c r="D50" s="336"/>
      <c r="E50" s="1391"/>
      <c r="F50" s="1418" t="str">
        <f>'Part I-Project Information'!F25</f>
        <v>375 Auburn Avenue, NE</v>
      </c>
      <c r="G50" s="1418"/>
      <c r="H50" s="1418"/>
      <c r="I50" s="1418"/>
      <c r="J50" s="1418"/>
      <c r="K50" s="1418"/>
      <c r="L50" s="1391" t="s">
        <v>4134</v>
      </c>
      <c r="M50" s="1391"/>
      <c r="N50" s="1391"/>
      <c r="O50" s="1391">
        <f>'Part I-Project Information'!O25</f>
        <v>0</v>
      </c>
      <c r="P50" s="1391"/>
    </row>
    <row r="51" spans="1:16">
      <c r="A51" s="1419"/>
      <c r="B51" s="1391" t="s">
        <v>4224</v>
      </c>
      <c r="C51" s="1391"/>
      <c r="D51" s="336"/>
      <c r="E51" s="1391"/>
      <c r="F51" s="1418">
        <f>'Part I-Project Information'!F26</f>
        <v>0</v>
      </c>
      <c r="G51" s="1418"/>
      <c r="H51" s="1418"/>
      <c r="I51" s="1418"/>
      <c r="J51" s="1418"/>
      <c r="K51" s="1418"/>
      <c r="L51" s="1386" t="s">
        <v>2128</v>
      </c>
      <c r="M51" s="1391"/>
      <c r="N51" s="1391" t="str">
        <f>'Part I-Project Information'!N26</f>
        <v>No</v>
      </c>
      <c r="O51" s="1394" t="s">
        <v>4133</v>
      </c>
      <c r="P51" s="1391">
        <f>'Part I-Project Information'!P26</f>
        <v>1</v>
      </c>
    </row>
    <row r="52" spans="1:16" ht="13.5">
      <c r="A52" s="1419"/>
      <c r="B52" s="1391" t="s">
        <v>2899</v>
      </c>
      <c r="C52" s="1391"/>
      <c r="D52" s="336"/>
      <c r="E52" s="1391"/>
      <c r="F52" s="329" t="s">
        <v>4215</v>
      </c>
      <c r="G52" s="1420" t="str">
        <f>'Part I-Project Information'!$G$27</f>
        <v>33.755125</v>
      </c>
      <c r="H52" s="1420"/>
      <c r="I52" s="329" t="s">
        <v>4216</v>
      </c>
      <c r="J52" s="1420" t="str">
        <f>'Part I-Project Information'!$J$27</f>
        <v>-84.375137</v>
      </c>
      <c r="K52" s="1420"/>
      <c r="L52" s="1386" t="s">
        <v>2363</v>
      </c>
      <c r="M52" s="1391"/>
      <c r="N52" s="1391"/>
      <c r="O52" s="1421">
        <f>'Part I-Project Information'!O27</f>
        <v>1.1796</v>
      </c>
      <c r="P52" s="1421"/>
    </row>
    <row r="53" spans="1:16" ht="16.5">
      <c r="A53" s="1174"/>
      <c r="B53" s="1391" t="s">
        <v>642</v>
      </c>
      <c r="C53" s="1391"/>
      <c r="D53" s="1391"/>
      <c r="E53" s="1391"/>
      <c r="F53" s="1391" t="str">
        <f>'Part I-Project Information'!F28</f>
        <v>Atlanta</v>
      </c>
      <c r="G53" s="1391"/>
      <c r="H53" s="1391"/>
      <c r="I53" s="346" t="s">
        <v>4225</v>
      </c>
      <c r="J53" s="1417">
        <f>'Part I-Project Information'!J28</f>
        <v>303121517</v>
      </c>
      <c r="K53" s="1417"/>
      <c r="L53" s="340" t="str">
        <f>IF(AND(NOT(F49=""),NOT(F53="Select from list"),J53=""),"Enter Zip!","")</f>
        <v/>
      </c>
      <c r="M53" s="344" t="s">
        <v>3062</v>
      </c>
      <c r="N53" s="1391"/>
      <c r="O53" s="1422" t="str">
        <f>'Part I-Project Information'!O28</f>
        <v>0028.00</v>
      </c>
      <c r="P53" s="1423"/>
    </row>
    <row r="54" spans="1:16">
      <c r="A54" s="1174"/>
      <c r="B54" s="1391" t="s">
        <v>3855</v>
      </c>
      <c r="C54" s="1391"/>
      <c r="D54" s="1391"/>
      <c r="E54" s="1391"/>
      <c r="F54" s="1391" t="str">
        <f>'Part I-Project Information'!F29</f>
        <v>Within City Limits</v>
      </c>
      <c r="G54" s="1391"/>
      <c r="H54" s="1391"/>
      <c r="I54" s="343" t="s">
        <v>643</v>
      </c>
      <c r="J54" s="1418" t="str">
        <f>'Part I-Project Information'!J29</f>
        <v>Fulton</v>
      </c>
      <c r="K54" s="1418"/>
      <c r="L54" s="1391"/>
      <c r="M54" s="1386" t="s">
        <v>468</v>
      </c>
      <c r="N54" s="1424" t="str">
        <f>'Part I-Project Information'!N29</f>
        <v>Yes</v>
      </c>
      <c r="O54" s="1394" t="s">
        <v>469</v>
      </c>
      <c r="P54" s="1424">
        <f>'Part I-Project Information'!P29</f>
        <v>0</v>
      </c>
    </row>
    <row r="55" spans="1:16">
      <c r="A55" s="1174"/>
      <c r="B55" s="340"/>
      <c r="C55" s="1391" t="s">
        <v>1615</v>
      </c>
      <c r="D55" s="1391"/>
      <c r="E55" s="1391"/>
      <c r="F55" s="1386" t="str">
        <f>'Part I-Project Information'!F30</f>
        <v>No</v>
      </c>
      <c r="G55" s="1391" t="s">
        <v>2900</v>
      </c>
      <c r="H55" s="1391"/>
      <c r="I55" s="1394" t="str">
        <f>'Part I-Project Information'!I30</f>
        <v>No</v>
      </c>
      <c r="J55" s="1394" t="s">
        <v>2921</v>
      </c>
      <c r="K55" s="1394" t="str">
        <f>'Part I-Project Information'!K30</f>
        <v>Urban</v>
      </c>
      <c r="L55" s="1391"/>
      <c r="M55" s="1386" t="s">
        <v>2699</v>
      </c>
      <c r="N55" s="1174" t="e">
        <f>VLOOKUP($J$29,'DCA Underwriting Assumptions'!$G$141:$J$300,4)</f>
        <v>#N/A</v>
      </c>
      <c r="O55" s="1391" t="str">
        <f>'Part I-Project Information'!O30</f>
        <v>Atlanta-Sandy Springs-Marietta</v>
      </c>
      <c r="P55" s="1391"/>
    </row>
    <row r="56" spans="1:16">
      <c r="A56" s="1174"/>
      <c r="B56" s="340"/>
      <c r="C56" s="340"/>
      <c r="D56" s="1391"/>
      <c r="E56" s="1391"/>
      <c r="F56" s="1391"/>
      <c r="G56" s="1391"/>
      <c r="H56" s="1391"/>
      <c r="I56" s="1386"/>
      <c r="J56" s="1391"/>
      <c r="K56" s="1391"/>
      <c r="L56" s="1395"/>
      <c r="M56" s="1395"/>
      <c r="N56" s="1395"/>
      <c r="O56" s="1395"/>
      <c r="P56" s="1395"/>
    </row>
    <row r="57" spans="1:16" ht="13.5">
      <c r="A57" s="1174"/>
      <c r="B57" s="1391"/>
      <c r="C57" s="1391" t="s">
        <v>4226</v>
      </c>
      <c r="D57" s="1391"/>
      <c r="E57" s="1391"/>
      <c r="F57" s="353" t="s">
        <v>2879</v>
      </c>
      <c r="G57" s="353"/>
      <c r="H57" s="1391" t="s">
        <v>766</v>
      </c>
      <c r="I57" s="1391"/>
      <c r="J57" s="1391" t="s">
        <v>767</v>
      </c>
      <c r="K57" s="1391"/>
      <c r="L57" s="1425" t="s">
        <v>4165</v>
      </c>
      <c r="M57" s="1391"/>
      <c r="N57" s="1391"/>
      <c r="O57" s="1391"/>
      <c r="P57" s="1391"/>
    </row>
    <row r="58" spans="1:16">
      <c r="A58" s="1174"/>
      <c r="B58" s="1391" t="s">
        <v>4227</v>
      </c>
      <c r="C58" s="1391"/>
      <c r="D58" s="340"/>
      <c r="E58" s="1391"/>
      <c r="F58" s="1426">
        <f>'Part I-Project Information'!F33</f>
        <v>5</v>
      </c>
      <c r="G58" s="1426"/>
      <c r="H58" s="1426">
        <f>'Part I-Project Information'!H33</f>
        <v>36</v>
      </c>
      <c r="I58" s="1426"/>
      <c r="J58" s="1426">
        <f>'Part I-Project Information'!J33</f>
        <v>58</v>
      </c>
      <c r="K58" s="1426"/>
      <c r="L58" s="573" t="s">
        <v>1330</v>
      </c>
      <c r="M58" s="1391"/>
      <c r="N58" s="1427" t="s">
        <v>1331</v>
      </c>
      <c r="O58" s="1427"/>
      <c r="P58" s="1427"/>
    </row>
    <row r="59" spans="1:16">
      <c r="A59" s="1174"/>
      <c r="B59" s="1386" t="s">
        <v>768</v>
      </c>
      <c r="C59" s="1391"/>
      <c r="D59" s="1391"/>
      <c r="E59" s="1391"/>
      <c r="F59" s="1426">
        <f>'Part I-Project Information'!F34</f>
        <v>0</v>
      </c>
      <c r="G59" s="1426"/>
      <c r="H59" s="1426">
        <f>'Part I-Project Information'!H34</f>
        <v>0</v>
      </c>
      <c r="I59" s="1426"/>
      <c r="J59" s="1426">
        <f>'Part I-Project Information'!J34</f>
        <v>0</v>
      </c>
      <c r="K59" s="1426"/>
      <c r="L59" s="573" t="s">
        <v>2877</v>
      </c>
      <c r="M59" s="1391"/>
      <c r="N59" s="1428" t="s">
        <v>2876</v>
      </c>
      <c r="O59" s="1428"/>
      <c r="P59" s="1391"/>
    </row>
    <row r="60" spans="1:16">
      <c r="A60" s="1174"/>
      <c r="B60" s="1391"/>
      <c r="C60" s="1391"/>
      <c r="D60" s="1391"/>
      <c r="E60" s="1391"/>
      <c r="F60" s="1391"/>
      <c r="G60" s="1391"/>
      <c r="H60" s="1391"/>
      <c r="I60" s="1395"/>
      <c r="J60" s="1395"/>
      <c r="K60" s="1395"/>
      <c r="L60" s="1391"/>
      <c r="M60" s="1391"/>
      <c r="N60" s="1391"/>
      <c r="O60" s="1391"/>
      <c r="P60" s="1391"/>
    </row>
    <row r="61" spans="1:16">
      <c r="A61" s="1174"/>
      <c r="B61" s="340" t="s">
        <v>661</v>
      </c>
      <c r="C61" s="1391"/>
      <c r="D61" s="1391"/>
      <c r="E61" s="1391"/>
      <c r="F61" s="1429" t="str">
        <f>'Part I-Project Information'!F36</f>
        <v>City of Atlanta</v>
      </c>
      <c r="G61" s="1429"/>
      <c r="H61" s="1429"/>
      <c r="I61" s="1429"/>
      <c r="J61" s="1429"/>
      <c r="K61" s="1429"/>
      <c r="L61" s="1170" t="s">
        <v>2809</v>
      </c>
      <c r="M61" s="1391" t="str">
        <f>'Part I-Project Information'!M36</f>
        <v>www.atlantaga.gov</v>
      </c>
      <c r="N61" s="1391"/>
      <c r="O61" s="1391"/>
      <c r="P61" s="1391"/>
    </row>
    <row r="62" spans="1:16">
      <c r="A62" s="1174"/>
      <c r="B62" s="1391" t="s">
        <v>662</v>
      </c>
      <c r="C62" s="1391"/>
      <c r="D62" s="1391"/>
      <c r="E62" s="1391"/>
      <c r="F62" s="1429" t="str">
        <f>'Part I-Project Information'!F37</f>
        <v>Kasim Reed</v>
      </c>
      <c r="G62" s="1429"/>
      <c r="H62" s="1429"/>
      <c r="I62" s="1394" t="s">
        <v>2055</v>
      </c>
      <c r="J62" s="1391" t="str">
        <f>'Part I-Project Information'!J37</f>
        <v>Mayor</v>
      </c>
      <c r="K62" s="1391"/>
      <c r="L62" s="1170"/>
      <c r="M62" s="1391"/>
      <c r="N62" s="1391"/>
      <c r="O62" s="1391"/>
      <c r="P62" s="1391"/>
    </row>
    <row r="63" spans="1:16">
      <c r="A63" s="1174"/>
      <c r="B63" s="1391" t="s">
        <v>2056</v>
      </c>
      <c r="C63" s="1391"/>
      <c r="D63" s="1391"/>
      <c r="E63" s="1391"/>
      <c r="F63" s="1429" t="str">
        <f>'Part I-Project Information'!F38</f>
        <v>55 Trinity Avenue</v>
      </c>
      <c r="G63" s="1429"/>
      <c r="H63" s="1429"/>
      <c r="I63" s="1429"/>
      <c r="J63" s="1429"/>
      <c r="K63" s="1429"/>
      <c r="L63" s="1386" t="s">
        <v>642</v>
      </c>
      <c r="M63" s="1429" t="str">
        <f>'Part I-Project Information'!M38</f>
        <v>Atlanta</v>
      </c>
      <c r="N63" s="1429"/>
      <c r="O63" s="1429"/>
      <c r="P63" s="1429"/>
    </row>
    <row r="64" spans="1:16">
      <c r="A64" s="1174"/>
      <c r="B64" s="1386" t="s">
        <v>2308</v>
      </c>
      <c r="C64" s="1391"/>
      <c r="D64" s="1391"/>
      <c r="E64" s="1391"/>
      <c r="F64" s="1417">
        <f>'Part I-Project Information'!F39</f>
        <v>303033520</v>
      </c>
      <c r="G64" s="1417"/>
      <c r="H64" s="1394" t="s">
        <v>2057</v>
      </c>
      <c r="I64" s="1416">
        <f>'Part I-Project Information'!I39</f>
        <v>4043306004</v>
      </c>
      <c r="J64" s="1416"/>
      <c r="K64" s="1416"/>
      <c r="L64" s="1386" t="s">
        <v>1866</v>
      </c>
      <c r="M64" s="1429" t="str">
        <f>'Part I-Project Information'!M39</f>
        <v>communications@atlantaga.gov</v>
      </c>
      <c r="N64" s="1429"/>
      <c r="O64" s="1429"/>
      <c r="P64" s="1429"/>
    </row>
    <row r="65" spans="1:16">
      <c r="A65" s="1174"/>
      <c r="B65" s="1174"/>
      <c r="C65" s="345"/>
      <c r="D65" s="346"/>
      <c r="E65" s="346"/>
      <c r="F65" s="1394"/>
      <c r="G65" s="1394"/>
      <c r="H65" s="1394"/>
      <c r="I65" s="1394"/>
      <c r="J65" s="346"/>
      <c r="K65" s="1394"/>
      <c r="L65" s="1394"/>
      <c r="M65" s="1391"/>
      <c r="N65" s="1391"/>
      <c r="O65" s="1391"/>
      <c r="P65" s="339"/>
    </row>
    <row r="66" spans="1:16">
      <c r="A66" s="296" t="s">
        <v>1860</v>
      </c>
      <c r="B66" s="340" t="s">
        <v>1531</v>
      </c>
      <c r="C66" s="1391"/>
      <c r="D66" s="1391"/>
      <c r="E66" s="1391"/>
      <c r="F66" s="1430"/>
      <c r="G66" s="1391"/>
      <c r="H66" s="1391"/>
      <c r="I66" s="1386"/>
      <c r="J66" s="1391"/>
      <c r="K66" s="1391"/>
      <c r="L66" s="1391"/>
      <c r="M66" s="1391"/>
      <c r="N66" s="1391"/>
      <c r="O66" s="1391"/>
      <c r="P66" s="1391"/>
    </row>
    <row r="67" spans="1:16">
      <c r="A67" s="1174"/>
      <c r="B67" s="340"/>
      <c r="C67" s="340"/>
      <c r="D67" s="1391"/>
      <c r="E67" s="1391"/>
      <c r="F67" s="1391"/>
      <c r="G67" s="1391"/>
      <c r="H67" s="1391"/>
      <c r="I67" s="1386"/>
      <c r="J67" s="1391"/>
      <c r="K67" s="1391"/>
      <c r="L67" s="1391"/>
      <c r="M67" s="1391"/>
      <c r="N67" s="1391"/>
      <c r="O67" s="1391"/>
      <c r="P67" s="1391"/>
    </row>
    <row r="68" spans="1:16">
      <c r="A68" s="1174"/>
      <c r="B68" s="1174" t="s">
        <v>2058</v>
      </c>
      <c r="C68" s="340" t="s">
        <v>747</v>
      </c>
      <c r="D68" s="1391"/>
      <c r="E68" s="1391"/>
      <c r="F68" s="1391"/>
      <c r="G68" s="1391"/>
      <c r="H68" s="1391"/>
      <c r="I68" s="1391"/>
      <c r="J68" s="1391"/>
      <c r="K68" s="573"/>
      <c r="L68" s="1391"/>
      <c r="M68" s="1427"/>
      <c r="N68" s="1427"/>
      <c r="O68" s="1427"/>
      <c r="P68" s="1427"/>
    </row>
    <row r="69" spans="1:16" ht="13.5">
      <c r="A69" s="338"/>
      <c r="B69" s="1174"/>
      <c r="C69" s="1391" t="s">
        <v>2375</v>
      </c>
      <c r="D69" s="1391"/>
      <c r="E69" s="1391"/>
      <c r="F69" s="338"/>
      <c r="G69" s="338"/>
      <c r="H69" s="1431">
        <f>'Part VI-Revenues &amp; Expenses'!$O$74</f>
        <v>0</v>
      </c>
      <c r="I69" s="338"/>
      <c r="J69" s="338"/>
      <c r="K69" s="1386" t="s">
        <v>4116</v>
      </c>
      <c r="L69" s="1391"/>
      <c r="M69" s="1432" t="s">
        <v>4115</v>
      </c>
      <c r="N69" s="1431">
        <f>'Part VI-Revenues &amp; Expenses'!$O$81</f>
        <v>0</v>
      </c>
      <c r="O69" s="1433" t="s">
        <v>3545</v>
      </c>
      <c r="P69" s="1431">
        <f>'Part VI-Revenues &amp; Expenses'!$O$82</f>
        <v>0</v>
      </c>
    </row>
    <row r="70" spans="1:16">
      <c r="A70" s="1174"/>
      <c r="B70" s="1174"/>
      <c r="C70" s="350" t="s">
        <v>360</v>
      </c>
      <c r="D70" s="1391"/>
      <c r="E70" s="1391"/>
      <c r="F70" s="1391"/>
      <c r="G70" s="1391"/>
      <c r="H70" s="1431">
        <f>'Part VI-Revenues &amp; Expenses'!$O$80</f>
        <v>0</v>
      </c>
      <c r="I70" s="1391"/>
      <c r="J70" s="1391"/>
      <c r="K70" s="350" t="s">
        <v>380</v>
      </c>
      <c r="L70" s="1391"/>
      <c r="M70" s="1391"/>
      <c r="N70" s="1391"/>
      <c r="O70" s="1391"/>
      <c r="P70" s="1431">
        <f>'Part VI-Revenues &amp; Expenses'!$O$84</f>
        <v>0</v>
      </c>
    </row>
    <row r="71" spans="1:16">
      <c r="A71" s="1391"/>
      <c r="B71" s="1174"/>
      <c r="C71" s="1386" t="s">
        <v>359</v>
      </c>
      <c r="D71" s="1391"/>
      <c r="E71" s="1391"/>
      <c r="F71" s="1391"/>
      <c r="G71" s="1391"/>
      <c r="H71" s="1431">
        <f>'Part VI-Revenues &amp; Expenses'!$O$77</f>
        <v>208</v>
      </c>
      <c r="I71" s="1434" t="s">
        <v>3068</v>
      </c>
      <c r="J71" s="1391"/>
      <c r="K71" s="1391" t="s">
        <v>361</v>
      </c>
      <c r="L71" s="1391"/>
      <c r="M71" s="1391"/>
      <c r="N71" s="1391"/>
      <c r="O71" s="1391"/>
      <c r="P71" s="1435">
        <f>'Part I-Project Information'!P46</f>
        <v>26299</v>
      </c>
    </row>
    <row r="72" spans="1:16">
      <c r="A72" s="1174"/>
      <c r="B72" s="1391"/>
      <c r="C72" s="1391"/>
      <c r="D72" s="1391"/>
      <c r="E72" s="1391"/>
      <c r="F72" s="1391"/>
      <c r="G72" s="1391"/>
      <c r="H72" s="1391"/>
      <c r="I72" s="1391"/>
      <c r="J72" s="1391"/>
      <c r="K72" s="1391"/>
      <c r="L72" s="1391"/>
      <c r="M72" s="1391"/>
      <c r="N72" s="1391"/>
      <c r="O72" s="1391"/>
      <c r="P72" s="1391"/>
    </row>
    <row r="73" spans="1:16">
      <c r="A73" s="1174"/>
      <c r="B73" s="1174" t="s">
        <v>2061</v>
      </c>
      <c r="C73" s="340" t="s">
        <v>2376</v>
      </c>
      <c r="D73" s="1391"/>
      <c r="E73" s="1391"/>
      <c r="F73" s="1391"/>
      <c r="G73" s="1391"/>
      <c r="H73" s="1394" t="str">
        <f>'Part I-Project Information'!H48</f>
        <v>No</v>
      </c>
      <c r="I73" s="1391"/>
      <c r="J73" s="1391"/>
      <c r="K73" s="1391"/>
      <c r="L73" s="1391"/>
      <c r="M73" s="1391"/>
      <c r="N73" s="1391"/>
      <c r="O73" s="1427"/>
      <c r="P73" s="573"/>
    </row>
    <row r="74" spans="1:16">
      <c r="A74" s="1174"/>
      <c r="B74" s="1391"/>
      <c r="C74" s="1391"/>
      <c r="D74" s="1391"/>
      <c r="E74" s="1391"/>
      <c r="F74" s="1391"/>
      <c r="G74" s="1391"/>
      <c r="H74" s="1391"/>
      <c r="I74" s="1391"/>
      <c r="J74" s="573"/>
      <c r="K74" s="574"/>
      <c r="L74" s="573"/>
      <c r="M74" s="574"/>
      <c r="N74" s="574"/>
      <c r="O74" s="574"/>
      <c r="P74" s="574"/>
    </row>
    <row r="75" spans="1:16">
      <c r="A75" s="1174"/>
      <c r="B75" s="1419" t="s">
        <v>779</v>
      </c>
      <c r="C75" s="340" t="s">
        <v>2356</v>
      </c>
      <c r="D75" s="1391"/>
      <c r="E75" s="1391"/>
      <c r="F75" s="1391"/>
      <c r="G75" s="1391"/>
      <c r="H75" s="1391"/>
      <c r="I75" s="1390" t="s">
        <v>3850</v>
      </c>
      <c r="J75" s="1419" t="s">
        <v>2193</v>
      </c>
      <c r="K75" s="351" t="s">
        <v>2382</v>
      </c>
      <c r="L75" s="1391"/>
      <c r="M75" s="1391"/>
      <c r="N75" s="1391"/>
      <c r="O75" s="1391"/>
      <c r="P75" s="1394"/>
    </row>
    <row r="76" spans="1:16">
      <c r="A76" s="1174"/>
      <c r="B76" s="1388"/>
      <c r="C76" s="338" t="s">
        <v>2357</v>
      </c>
      <c r="D76" s="1391"/>
      <c r="E76" s="1391"/>
      <c r="F76" s="1391"/>
      <c r="G76" s="1391"/>
      <c r="H76" s="1436">
        <f>SUM(H77:H78)</f>
        <v>208</v>
      </c>
      <c r="I76" s="1436">
        <f>SUM(I77:I78)</f>
        <v>208</v>
      </c>
      <c r="J76" s="1174"/>
      <c r="K76" s="338" t="s">
        <v>2891</v>
      </c>
      <c r="L76" s="1391"/>
      <c r="M76" s="1391"/>
      <c r="N76" s="1391"/>
      <c r="O76" s="1391"/>
      <c r="P76" s="1436">
        <f>'Part VI-Revenues &amp; Expenses'!$O$115</f>
        <v>111354</v>
      </c>
    </row>
    <row r="77" spans="1:16">
      <c r="A77" s="1174"/>
      <c r="B77" s="338"/>
      <c r="C77" s="1391"/>
      <c r="D77" s="353" t="s">
        <v>399</v>
      </c>
      <c r="E77" s="1391"/>
      <c r="F77" s="1391"/>
      <c r="G77" s="1391"/>
      <c r="H77" s="1436">
        <f>'Part VI-Revenues &amp; Expenses'!$O$57</f>
        <v>0</v>
      </c>
      <c r="I77" s="1436">
        <f>'Part VI-Revenues &amp; Expenses'!$O$65</f>
        <v>0</v>
      </c>
      <c r="J77" s="1391"/>
      <c r="K77" s="338" t="s">
        <v>2892</v>
      </c>
      <c r="L77" s="1391"/>
      <c r="M77" s="1391"/>
      <c r="N77" s="1391"/>
      <c r="O77" s="1391"/>
      <c r="P77" s="1436">
        <f>'Part VI-Revenues &amp; Expenses'!$O$116</f>
        <v>0</v>
      </c>
    </row>
    <row r="78" spans="1:16">
      <c r="A78" s="1174"/>
      <c r="B78" s="1391"/>
      <c r="C78" s="1391"/>
      <c r="D78" s="353" t="s">
        <v>1890</v>
      </c>
      <c r="E78" s="353"/>
      <c r="F78" s="1391"/>
      <c r="G78" s="1391"/>
      <c r="H78" s="1436">
        <f>'Part VI-Revenues &amp; Expenses'!$O$56</f>
        <v>208</v>
      </c>
      <c r="I78" s="1436">
        <f>'Part VI-Revenues &amp; Expenses'!$O$64</f>
        <v>208</v>
      </c>
      <c r="J78" s="1391"/>
      <c r="K78" s="338" t="s">
        <v>2893</v>
      </c>
      <c r="L78" s="1391"/>
      <c r="M78" s="1391"/>
      <c r="N78" s="1391"/>
      <c r="O78" s="1391"/>
      <c r="P78" s="1436">
        <f>P76+P77</f>
        <v>111354</v>
      </c>
    </row>
    <row r="79" spans="1:16">
      <c r="A79" s="1174"/>
      <c r="B79" s="1391"/>
      <c r="C79" s="338" t="s">
        <v>264</v>
      </c>
      <c r="D79" s="1391"/>
      <c r="E79" s="1391"/>
      <c r="F79" s="1391"/>
      <c r="G79" s="1391"/>
      <c r="H79" s="1436">
        <f>'Part VI-Revenues &amp; Expenses'!$O$59</f>
        <v>0</v>
      </c>
      <c r="I79" s="1391"/>
      <c r="J79" s="1174"/>
      <c r="K79" s="338" t="s">
        <v>2894</v>
      </c>
      <c r="L79" s="1391"/>
      <c r="M79" s="1391"/>
      <c r="N79" s="1391"/>
      <c r="O79" s="1391"/>
      <c r="P79" s="1436">
        <f>'Part VI-Revenues &amp; Expenses'!$O$118</f>
        <v>0</v>
      </c>
    </row>
    <row r="80" spans="1:16">
      <c r="A80" s="1174"/>
      <c r="B80" s="1391"/>
      <c r="C80" s="338" t="s">
        <v>2492</v>
      </c>
      <c r="D80" s="1391"/>
      <c r="E80" s="1391"/>
      <c r="F80" s="1391"/>
      <c r="G80" s="1391"/>
      <c r="H80" s="1436">
        <f>H76+H79</f>
        <v>208</v>
      </c>
      <c r="I80" s="1391"/>
      <c r="J80" s="1174"/>
      <c r="K80" s="338" t="s">
        <v>1474</v>
      </c>
      <c r="L80" s="1391"/>
      <c r="M80" s="1391"/>
      <c r="N80" s="1391"/>
      <c r="O80" s="1391"/>
      <c r="P80" s="1436">
        <f>+P78+P79</f>
        <v>111354</v>
      </c>
    </row>
    <row r="81" spans="1:16">
      <c r="A81" s="1174"/>
      <c r="B81" s="1391"/>
      <c r="C81" s="338" t="s">
        <v>2493</v>
      </c>
      <c r="D81" s="1391"/>
      <c r="E81" s="1391"/>
      <c r="F81" s="1391"/>
      <c r="G81" s="1391"/>
      <c r="H81" s="1436">
        <f>'Part VI-Revenues &amp; Expenses'!$O$61</f>
        <v>0</v>
      </c>
      <c r="I81" s="1391"/>
      <c r="J81" s="1174"/>
      <c r="K81" s="1391"/>
      <c r="L81" s="1391"/>
      <c r="M81" s="1391"/>
      <c r="N81" s="1391"/>
      <c r="O81" s="1391"/>
      <c r="P81" s="1391"/>
    </row>
    <row r="82" spans="1:16">
      <c r="A82" s="1174"/>
      <c r="B82" s="1391"/>
      <c r="C82" s="338" t="s">
        <v>1859</v>
      </c>
      <c r="D82" s="1391"/>
      <c r="E82" s="1391"/>
      <c r="F82" s="1391"/>
      <c r="G82" s="1391"/>
      <c r="H82" s="1436">
        <f>+H80+H81</f>
        <v>208</v>
      </c>
      <c r="I82" s="1391"/>
      <c r="J82" s="1391"/>
      <c r="K82" s="1391"/>
      <c r="L82" s="1391"/>
      <c r="M82" s="1391"/>
      <c r="N82" s="1391"/>
      <c r="O82" s="1391"/>
      <c r="P82" s="1391"/>
    </row>
    <row r="83" spans="1:16">
      <c r="A83" s="1174"/>
      <c r="B83" s="1391"/>
      <c r="C83" s="1391"/>
      <c r="D83" s="1391"/>
      <c r="E83" s="1391"/>
      <c r="F83" s="1391"/>
      <c r="G83" s="1391"/>
      <c r="H83" s="1391"/>
      <c r="I83" s="1394"/>
      <c r="J83" s="1391"/>
      <c r="K83" s="1391"/>
      <c r="L83" s="1394"/>
      <c r="M83" s="1394"/>
      <c r="N83" s="1391"/>
      <c r="O83" s="1391"/>
      <c r="P83" s="339"/>
    </row>
    <row r="84" spans="1:16">
      <c r="A84" s="1174"/>
      <c r="B84" s="1174" t="s">
        <v>1801</v>
      </c>
      <c r="C84" s="340" t="s">
        <v>2377</v>
      </c>
      <c r="D84" s="353" t="s">
        <v>2072</v>
      </c>
      <c r="E84" s="1391"/>
      <c r="F84" s="1391"/>
      <c r="G84" s="1391"/>
      <c r="H84" s="1436">
        <f>'Part I-Project Information'!H59</f>
        <v>1</v>
      </c>
      <c r="I84" s="1391"/>
      <c r="J84" s="1391"/>
      <c r="K84" s="338" t="s">
        <v>1165</v>
      </c>
      <c r="L84" s="1391"/>
      <c r="M84" s="1391"/>
      <c r="N84" s="1391"/>
      <c r="O84" s="1391"/>
      <c r="P84" s="1436">
        <f>'Part I-Project Information'!P59</f>
        <v>37052</v>
      </c>
    </row>
    <row r="85" spans="1:16">
      <c r="A85" s="1174"/>
      <c r="B85" s="1174"/>
      <c r="C85" s="1391"/>
      <c r="D85" s="1388" t="s">
        <v>2073</v>
      </c>
      <c r="E85" s="1391"/>
      <c r="F85" s="1391"/>
      <c r="G85" s="1391"/>
      <c r="H85" s="1436">
        <f>'Part I-Project Information'!H60</f>
        <v>0</v>
      </c>
      <c r="I85" s="1391"/>
      <c r="J85" s="1391"/>
      <c r="K85" s="338" t="s">
        <v>263</v>
      </c>
      <c r="L85" s="1391"/>
      <c r="M85" s="1391"/>
      <c r="N85" s="1391"/>
      <c r="O85" s="1391"/>
      <c r="P85" s="1436">
        <f>+P80+P84</f>
        <v>148406</v>
      </c>
    </row>
    <row r="86" spans="1:16">
      <c r="A86" s="1174"/>
      <c r="B86" s="1174"/>
      <c r="C86" s="1391"/>
      <c r="D86" s="1388" t="s">
        <v>2074</v>
      </c>
      <c r="E86" s="1391"/>
      <c r="F86" s="1391"/>
      <c r="G86" s="1391"/>
      <c r="H86" s="1436">
        <f>+H84+H85</f>
        <v>1</v>
      </c>
      <c r="I86" s="1391"/>
      <c r="J86" s="1391"/>
      <c r="K86" s="1391"/>
      <c r="L86" s="1391"/>
      <c r="M86" s="1391"/>
      <c r="N86" s="1391"/>
      <c r="O86" s="1391"/>
      <c r="P86" s="1391"/>
    </row>
    <row r="87" spans="1:16">
      <c r="A87" s="1174"/>
      <c r="B87" s="1174"/>
      <c r="C87" s="1391"/>
      <c r="D87" s="1391"/>
      <c r="E87" s="1391"/>
      <c r="F87" s="1391"/>
      <c r="G87" s="1394"/>
      <c r="H87" s="1391"/>
      <c r="I87" s="338"/>
      <c r="J87" s="1391"/>
      <c r="K87" s="1391"/>
      <c r="L87" s="1391"/>
      <c r="M87" s="1391"/>
      <c r="N87" s="1391"/>
      <c r="O87" s="1391"/>
      <c r="P87" s="339"/>
    </row>
    <row r="88" spans="1:16">
      <c r="A88" s="1174"/>
      <c r="B88" s="1174" t="s">
        <v>1802</v>
      </c>
      <c r="C88" s="340" t="s">
        <v>2981</v>
      </c>
      <c r="D88" s="1391"/>
      <c r="E88" s="1391"/>
      <c r="F88" s="1391"/>
      <c r="G88" s="1391"/>
      <c r="H88" s="1436">
        <f>'Part I-Project Information'!H63</f>
        <v>23</v>
      </c>
      <c r="I88" s="1391"/>
      <c r="J88" s="1391"/>
      <c r="K88" s="1391" t="s">
        <v>2984</v>
      </c>
      <c r="L88" s="1391"/>
      <c r="M88" s="1391"/>
      <c r="N88" s="1391"/>
      <c r="O88" s="1391"/>
      <c r="P88" s="1391"/>
    </row>
    <row r="89" spans="1:16">
      <c r="A89" s="1174"/>
      <c r="B89" s="1174"/>
      <c r="C89" s="338"/>
      <c r="D89" s="1391"/>
      <c r="E89" s="1391"/>
      <c r="F89" s="1391"/>
      <c r="G89" s="1394"/>
      <c r="H89" s="1391"/>
      <c r="I89" s="338"/>
      <c r="J89" s="338"/>
      <c r="K89" s="1391"/>
      <c r="L89" s="1391"/>
      <c r="M89" s="1391"/>
      <c r="N89" s="1391"/>
      <c r="O89" s="1391"/>
      <c r="P89" s="339"/>
    </row>
    <row r="90" spans="1:16">
      <c r="A90" s="1174" t="s">
        <v>549</v>
      </c>
      <c r="B90" s="354" t="s">
        <v>1234</v>
      </c>
      <c r="C90" s="1391"/>
      <c r="D90" s="354"/>
      <c r="E90" s="354"/>
      <c r="F90" s="1391"/>
      <c r="G90" s="1394"/>
      <c r="H90" s="1391"/>
      <c r="I90" s="1391"/>
      <c r="J90" s="1391"/>
      <c r="K90" s="1391"/>
      <c r="L90" s="1391"/>
      <c r="M90" s="1391"/>
      <c r="N90" s="1391"/>
      <c r="O90" s="1391"/>
      <c r="P90" s="1391"/>
    </row>
    <row r="91" spans="1:16">
      <c r="A91" s="1174"/>
      <c r="B91" s="1391"/>
      <c r="C91" s="1387"/>
      <c r="D91" s="1387"/>
      <c r="E91" s="1387"/>
      <c r="F91" s="1391"/>
      <c r="G91" s="1394"/>
      <c r="H91" s="1391"/>
      <c r="I91" s="1391"/>
      <c r="J91" s="1391"/>
      <c r="K91" s="1391"/>
      <c r="L91" s="1391"/>
      <c r="M91" s="1391"/>
      <c r="N91" s="1391"/>
      <c r="O91" s="1391"/>
      <c r="P91" s="339"/>
    </row>
    <row r="92" spans="1:16">
      <c r="A92" s="1174"/>
      <c r="B92" s="1174" t="s">
        <v>2058</v>
      </c>
      <c r="C92" s="296" t="s">
        <v>2795</v>
      </c>
      <c r="D92" s="1387"/>
      <c r="E92" s="1387"/>
      <c r="F92" s="1391"/>
      <c r="G92" s="1394"/>
      <c r="H92" s="353" t="str">
        <f>'Part I-Project Information'!H67</f>
        <v>Elderly</v>
      </c>
      <c r="I92" s="353"/>
      <c r="J92" s="1391"/>
      <c r="K92" s="1391" t="s">
        <v>1838</v>
      </c>
      <c r="L92" s="1391"/>
      <c r="M92" s="1391"/>
      <c r="N92" s="1391">
        <f>'Part I-Project Information'!N67</f>
        <v>0</v>
      </c>
      <c r="O92" s="1391"/>
      <c r="P92" s="1391"/>
    </row>
    <row r="93" spans="1:16">
      <c r="A93" s="1174"/>
      <c r="B93" s="1174"/>
      <c r="C93" s="1391"/>
      <c r="D93" s="1388"/>
      <c r="E93" s="1388"/>
      <c r="F93" s="1388"/>
      <c r="G93" s="1388"/>
      <c r="H93" s="1391"/>
      <c r="I93" s="1394"/>
      <c r="J93" s="1391"/>
      <c r="K93" s="1386"/>
      <c r="L93" s="1386"/>
      <c r="M93" s="1394"/>
      <c r="N93" s="1391"/>
      <c r="O93" s="1391"/>
      <c r="P93" s="339"/>
    </row>
    <row r="94" spans="1:16" ht="12.75" customHeight="1">
      <c r="A94" s="1174"/>
      <c r="B94" s="1174"/>
      <c r="C94" s="1391"/>
      <c r="D94" s="1391"/>
      <c r="E94" s="1387"/>
      <c r="F94" s="1391"/>
      <c r="G94" s="1391"/>
      <c r="H94" s="1391"/>
      <c r="I94" s="1391"/>
      <c r="J94" s="1391"/>
      <c r="K94" s="1437" t="s">
        <v>3504</v>
      </c>
      <c r="L94" s="1437"/>
      <c r="M94" s="355" t="s">
        <v>3069</v>
      </c>
      <c r="N94" s="1436">
        <f>'Part I-Project Information'!N69</f>
        <v>0</v>
      </c>
      <c r="O94" s="355" t="s">
        <v>3070</v>
      </c>
      <c r="P94" s="1436">
        <f>'Part I-Project Information'!P69</f>
        <v>0</v>
      </c>
    </row>
    <row r="95" spans="1:16" ht="12.75" customHeight="1">
      <c r="A95" s="1174"/>
      <c r="B95" s="1174"/>
      <c r="C95" s="1391"/>
      <c r="D95" s="1388"/>
      <c r="E95" s="1388"/>
      <c r="F95" s="1388"/>
      <c r="G95" s="1388"/>
      <c r="H95" s="1391"/>
      <c r="I95" s="1391"/>
      <c r="J95" s="1391"/>
      <c r="K95" s="1437"/>
      <c r="L95" s="1437"/>
      <c r="M95" s="1394"/>
      <c r="N95" s="1391"/>
      <c r="O95" s="1391"/>
      <c r="P95" s="339"/>
    </row>
    <row r="96" spans="1:16" ht="12.75" customHeight="1">
      <c r="A96" s="1174"/>
      <c r="B96" s="1174"/>
      <c r="C96" s="1391"/>
      <c r="D96" s="1386"/>
      <c r="E96" s="1387"/>
      <c r="F96" s="1391"/>
      <c r="G96" s="1391"/>
      <c r="H96" s="1391"/>
      <c r="I96" s="1391"/>
      <c r="J96" s="1391"/>
      <c r="K96" s="1437"/>
      <c r="L96" s="1437"/>
      <c r="M96" s="336" t="s">
        <v>3071</v>
      </c>
      <c r="N96" s="1436">
        <f>'Part I-Project Information'!N71</f>
        <v>0</v>
      </c>
      <c r="O96" s="336" t="s">
        <v>1659</v>
      </c>
      <c r="P96" s="1436">
        <f>'Part I-Project Information'!P71</f>
        <v>0</v>
      </c>
    </row>
    <row r="97" spans="1:16">
      <c r="A97" s="1174"/>
      <c r="B97" s="1174"/>
      <c r="C97" s="1391"/>
      <c r="D97" s="1388"/>
      <c r="E97" s="1388"/>
      <c r="F97" s="1388"/>
      <c r="G97" s="1388"/>
      <c r="H97" s="1391"/>
      <c r="I97" s="1394"/>
      <c r="J97" s="1391"/>
      <c r="K97" s="1386"/>
      <c r="L97" s="1386"/>
      <c r="M97" s="1394"/>
      <c r="N97" s="1391"/>
      <c r="O97" s="1391"/>
      <c r="P97" s="339"/>
    </row>
    <row r="98" spans="1:16">
      <c r="A98" s="1174"/>
      <c r="B98" s="1174" t="s">
        <v>2061</v>
      </c>
      <c r="C98" s="340" t="s">
        <v>1465</v>
      </c>
      <c r="D98" s="1391"/>
      <c r="E98" s="353"/>
      <c r="F98" s="1388" t="s">
        <v>828</v>
      </c>
      <c r="G98" s="1391"/>
      <c r="H98" s="1436">
        <f>'Part I-Project Information'!H73</f>
        <v>11</v>
      </c>
      <c r="I98" s="1391"/>
      <c r="J98" s="1391"/>
      <c r="K98" s="1391" t="s">
        <v>539</v>
      </c>
      <c r="L98" s="1391"/>
      <c r="M98" s="1391"/>
      <c r="N98" s="1438">
        <f>IF('Part VI-Revenues &amp; Expenses'!$O$62=0,0,H98/'Part VI-Revenues &amp; Expenses'!$O$62)</f>
        <v>5.2884615384615384E-2</v>
      </c>
      <c r="O98" s="336" t="s">
        <v>4152</v>
      </c>
      <c r="P98" s="1439">
        <f>'DCA Underwriting Assumptions'!$Q$124</f>
        <v>0.05</v>
      </c>
    </row>
    <row r="99" spans="1:16">
      <c r="A99" s="1174"/>
      <c r="B99" s="1174"/>
      <c r="C99" s="1391"/>
      <c r="D99" s="1388" t="s">
        <v>2979</v>
      </c>
      <c r="E99" s="1388"/>
      <c r="F99" s="1388" t="s">
        <v>828</v>
      </c>
      <c r="G99" s="1391"/>
      <c r="H99" s="1436">
        <f>'Part I-Project Information'!H74</f>
        <v>5</v>
      </c>
      <c r="I99" s="1391"/>
      <c r="J99" s="1391"/>
      <c r="K99" s="1391" t="s">
        <v>2980</v>
      </c>
      <c r="L99" s="1391"/>
      <c r="M99" s="1391"/>
      <c r="N99" s="1438">
        <f>IF(H98=0,0,H99/H98)</f>
        <v>0.45454545454545453</v>
      </c>
      <c r="O99" s="336" t="s">
        <v>4152</v>
      </c>
      <c r="P99" s="1439">
        <f>'DCA Underwriting Assumptions'!$Q$125</f>
        <v>0.4</v>
      </c>
    </row>
    <row r="100" spans="1:16">
      <c r="A100" s="1174"/>
      <c r="B100" s="1174"/>
      <c r="C100" s="1391"/>
      <c r="D100" s="1388"/>
      <c r="E100" s="1388"/>
      <c r="F100" s="1388"/>
      <c r="G100" s="1391"/>
      <c r="H100" s="1391"/>
      <c r="I100" s="1394"/>
      <c r="J100" s="1391"/>
      <c r="K100" s="1386"/>
      <c r="L100" s="1386"/>
      <c r="M100" s="1394"/>
      <c r="N100" s="1394"/>
      <c r="O100" s="1391"/>
      <c r="P100" s="1394"/>
    </row>
    <row r="101" spans="1:16">
      <c r="A101" s="1174"/>
      <c r="B101" s="1174" t="s">
        <v>779</v>
      </c>
      <c r="C101" s="340" t="s">
        <v>1913</v>
      </c>
      <c r="D101" s="353"/>
      <c r="E101" s="353"/>
      <c r="F101" s="1388" t="s">
        <v>828</v>
      </c>
      <c r="G101" s="1391"/>
      <c r="H101" s="1436">
        <f>'Part I-Project Information'!H76</f>
        <v>5</v>
      </c>
      <c r="I101" s="1391"/>
      <c r="J101" s="1391"/>
      <c r="K101" s="1391" t="s">
        <v>539</v>
      </c>
      <c r="L101" s="1391"/>
      <c r="M101" s="1391"/>
      <c r="N101" s="1438">
        <f>IF('Part VI-Revenues &amp; Expenses'!$O$62=0,0,H101/'Part VI-Revenues &amp; Expenses'!$O$62)</f>
        <v>2.403846153846154E-2</v>
      </c>
      <c r="O101" s="336" t="s">
        <v>4152</v>
      </c>
      <c r="P101" s="1439">
        <f>'DCA Underwriting Assumptions'!$Q$126</f>
        <v>0.02</v>
      </c>
    </row>
    <row r="102" spans="1:16">
      <c r="A102" s="1174"/>
      <c r="B102" s="1174"/>
      <c r="C102" s="1391"/>
      <c r="D102" s="1388"/>
      <c r="E102" s="1388"/>
      <c r="F102" s="1388"/>
      <c r="G102" s="1388"/>
      <c r="H102" s="1391"/>
      <c r="I102" s="1394"/>
      <c r="J102" s="1394"/>
      <c r="K102" s="1394"/>
      <c r="L102" s="1394"/>
      <c r="M102" s="1394"/>
      <c r="N102" s="1391"/>
      <c r="O102" s="1391"/>
      <c r="P102" s="339"/>
    </row>
    <row r="103" spans="1:16">
      <c r="A103" s="351" t="s">
        <v>803</v>
      </c>
      <c r="B103" s="1387" t="s">
        <v>2462</v>
      </c>
      <c r="C103" s="1391"/>
      <c r="D103" s="1388"/>
      <c r="E103" s="1388"/>
      <c r="F103" s="1388"/>
      <c r="G103" s="1388"/>
      <c r="H103" s="1388"/>
      <c r="I103" s="1394"/>
      <c r="J103" s="1391"/>
      <c r="K103" s="1391"/>
      <c r="L103" s="1391"/>
      <c r="M103" s="1394"/>
      <c r="N103" s="1391"/>
      <c r="O103" s="1391"/>
      <c r="P103" s="339"/>
    </row>
    <row r="104" spans="1:16">
      <c r="A104" s="1174"/>
      <c r="B104" s="1174"/>
      <c r="C104" s="1387"/>
      <c r="D104" s="1388"/>
      <c r="E104" s="1388"/>
      <c r="F104" s="1388"/>
      <c r="G104" s="1391"/>
      <c r="H104" s="1391"/>
      <c r="I104" s="1391"/>
      <c r="J104" s="1391"/>
      <c r="K104" s="1391"/>
      <c r="L104" s="1394"/>
      <c r="M104" s="1394"/>
      <c r="N104" s="1391"/>
      <c r="O104" s="1391"/>
      <c r="P104" s="339"/>
    </row>
    <row r="105" spans="1:16">
      <c r="A105" s="1174"/>
      <c r="B105" s="1174" t="s">
        <v>2058</v>
      </c>
      <c r="C105" s="296" t="s">
        <v>2461</v>
      </c>
      <c r="D105" s="1388"/>
      <c r="E105" s="1388"/>
      <c r="F105" s="1388"/>
      <c r="G105" s="1391"/>
      <c r="H105" s="353" t="str">
        <f>'Part I-Project Information'!H80</f>
        <v>40% of Units at 60% of AMI</v>
      </c>
      <c r="I105" s="353"/>
      <c r="J105" s="353"/>
      <c r="K105" s="1391"/>
      <c r="L105" s="1391"/>
      <c r="M105" s="1394"/>
      <c r="N105" s="1394"/>
      <c r="O105" s="1391"/>
      <c r="P105" s="339"/>
    </row>
    <row r="106" spans="1:16">
      <c r="A106" s="1174"/>
      <c r="B106" s="1174"/>
      <c r="C106" s="1391"/>
      <c r="D106" s="1388"/>
      <c r="E106" s="1388"/>
      <c r="F106" s="1388"/>
      <c r="G106" s="1388"/>
      <c r="H106" s="1391"/>
      <c r="I106" s="1394"/>
      <c r="J106" s="1394"/>
      <c r="K106" s="1394"/>
      <c r="L106" s="1394"/>
      <c r="M106" s="1394"/>
      <c r="N106" s="1391"/>
      <c r="O106" s="1391"/>
      <c r="P106" s="339"/>
    </row>
    <row r="107" spans="1:16">
      <c r="A107" s="1391"/>
      <c r="B107" s="1174" t="s">
        <v>2061</v>
      </c>
      <c r="C107" s="340" t="s">
        <v>1591</v>
      </c>
      <c r="D107" s="1391"/>
      <c r="E107" s="1391"/>
      <c r="F107" s="1391"/>
      <c r="G107" s="1391"/>
      <c r="H107" s="1391"/>
      <c r="I107" s="1391"/>
      <c r="J107" s="1391"/>
      <c r="K107" s="1386" t="s">
        <v>901</v>
      </c>
      <c r="L107" s="1391"/>
      <c r="M107" s="1391"/>
      <c r="N107" s="358"/>
      <c r="O107" s="1391"/>
      <c r="P107" s="1394">
        <f>'Part I-Project Information'!P82</f>
        <v>0</v>
      </c>
    </row>
    <row r="108" spans="1:16">
      <c r="A108" s="1174"/>
      <c r="B108" s="1174"/>
      <c r="C108" s="340"/>
      <c r="D108" s="1388"/>
      <c r="E108" s="1388"/>
      <c r="F108" s="1388"/>
      <c r="G108" s="1388"/>
      <c r="H108" s="1391"/>
      <c r="I108" s="1394"/>
      <c r="J108" s="1394"/>
      <c r="K108" s="1394"/>
      <c r="L108" s="1394"/>
      <c r="M108" s="1394"/>
      <c r="N108" s="1391"/>
      <c r="O108" s="1391"/>
      <c r="P108" s="339"/>
    </row>
    <row r="109" spans="1:16">
      <c r="A109" s="351" t="s">
        <v>305</v>
      </c>
      <c r="B109" s="1387" t="s">
        <v>2119</v>
      </c>
      <c r="C109" s="1391"/>
      <c r="D109" s="1388"/>
      <c r="E109" s="1391"/>
      <c r="F109" s="1391"/>
      <c r="G109" s="1391"/>
      <c r="H109" s="1391"/>
      <c r="I109" s="1391"/>
      <c r="J109" s="1391"/>
      <c r="K109" s="1391"/>
      <c r="L109" s="1391"/>
      <c r="M109" s="1391"/>
      <c r="N109" s="1391"/>
      <c r="O109" s="1391"/>
      <c r="P109" s="1391"/>
    </row>
    <row r="110" spans="1:16">
      <c r="A110" s="1174"/>
      <c r="B110" s="1174"/>
      <c r="C110" s="1391"/>
      <c r="D110" s="1388"/>
      <c r="E110" s="1391"/>
      <c r="F110" s="1391"/>
      <c r="G110" s="1391"/>
      <c r="H110" s="1391"/>
      <c r="I110" s="1391"/>
      <c r="J110" s="1391"/>
      <c r="K110" s="1391"/>
      <c r="L110" s="1391"/>
      <c r="M110" s="1391"/>
      <c r="N110" s="1391"/>
      <c r="O110" s="1391"/>
      <c r="P110" s="339"/>
    </row>
    <row r="111" spans="1:16">
      <c r="A111" s="351"/>
      <c r="B111" s="1174" t="s">
        <v>2058</v>
      </c>
      <c r="C111" s="340" t="s">
        <v>2814</v>
      </c>
      <c r="D111" s="1391"/>
      <c r="E111" s="1391"/>
      <c r="F111" s="353" t="s">
        <v>2688</v>
      </c>
      <c r="G111" s="1391"/>
      <c r="H111" s="1394">
        <f>'Part I-Project Information'!H86</f>
        <v>0</v>
      </c>
      <c r="I111" s="1391"/>
      <c r="J111" s="1391"/>
      <c r="K111" s="353" t="s">
        <v>3655</v>
      </c>
      <c r="L111" s="1391"/>
      <c r="M111" s="1394" t="str">
        <f>'Part I-Project Information'!M86</f>
        <v>Yes</v>
      </c>
      <c r="N111" s="1391"/>
      <c r="O111" s="1391"/>
      <c r="P111" s="1391"/>
    </row>
    <row r="112" spans="1:16">
      <c r="A112" s="1174"/>
      <c r="B112" s="1174"/>
      <c r="C112" s="1387"/>
      <c r="D112" s="1391"/>
      <c r="E112" s="1391"/>
      <c r="F112" s="1388"/>
      <c r="G112" s="1391"/>
      <c r="H112" s="1388"/>
      <c r="I112" s="1391"/>
      <c r="J112" s="1394"/>
      <c r="K112" s="1394"/>
      <c r="L112" s="1394"/>
      <c r="M112" s="1394"/>
      <c r="N112" s="1394"/>
      <c r="O112" s="1391"/>
      <c r="P112" s="339"/>
    </row>
    <row r="113" spans="1:16">
      <c r="A113" s="351"/>
      <c r="B113" s="1174" t="s">
        <v>2061</v>
      </c>
      <c r="C113" s="340" t="s">
        <v>2815</v>
      </c>
      <c r="D113" s="1391"/>
      <c r="E113" s="1391"/>
      <c r="F113" s="1386" t="s">
        <v>2773</v>
      </c>
      <c r="G113" s="1391"/>
      <c r="H113" s="1394">
        <f>'Part I-Project Information'!H88</f>
        <v>0</v>
      </c>
      <c r="I113" s="1391"/>
      <c r="J113" s="1394"/>
      <c r="K113" s="540" t="s">
        <v>2816</v>
      </c>
      <c r="L113" s="1394"/>
      <c r="M113" s="1394"/>
      <c r="N113" s="1394"/>
      <c r="O113" s="1394"/>
      <c r="P113" s="1391"/>
    </row>
    <row r="114" spans="1:16">
      <c r="A114" s="1174"/>
      <c r="B114" s="1174"/>
      <c r="C114" s="340"/>
      <c r="D114" s="1388"/>
      <c r="E114" s="1388"/>
      <c r="F114" s="1388"/>
      <c r="G114" s="1388"/>
      <c r="H114" s="1391"/>
      <c r="I114" s="1394"/>
      <c r="J114" s="1394"/>
      <c r="K114" s="1394"/>
      <c r="L114" s="1394"/>
      <c r="M114" s="1394"/>
      <c r="N114" s="1391"/>
      <c r="O114" s="1391"/>
      <c r="P114" s="339"/>
    </row>
    <row r="115" spans="1:16">
      <c r="A115" s="351" t="s">
        <v>440</v>
      </c>
      <c r="B115" s="1387" t="s">
        <v>2902</v>
      </c>
      <c r="C115" s="1391"/>
      <c r="D115" s="1388"/>
      <c r="E115" s="1391"/>
      <c r="F115" s="1391"/>
      <c r="G115" s="1391"/>
      <c r="H115" s="1391" t="str">
        <f>'Part I-Project Information'!H90</f>
        <v>N/A - 4% Bond</v>
      </c>
      <c r="I115" s="1391"/>
      <c r="J115" s="1394"/>
      <c r="K115" s="1391"/>
      <c r="L115" s="1391"/>
      <c r="M115" s="1391"/>
      <c r="N115" s="1391"/>
      <c r="O115" s="1391"/>
      <c r="P115" s="1391"/>
    </row>
    <row r="116" spans="1:16">
      <c r="A116" s="1174"/>
      <c r="B116" s="1391"/>
      <c r="C116" s="1391"/>
      <c r="D116" s="346"/>
      <c r="E116" s="1391"/>
      <c r="F116" s="1391"/>
      <c r="G116" s="1391"/>
      <c r="H116" s="1391"/>
      <c r="I116" s="346"/>
      <c r="J116" s="338"/>
      <c r="K116" s="1391"/>
      <c r="L116" s="1391"/>
      <c r="M116" s="1391"/>
      <c r="N116" s="1391"/>
      <c r="O116" s="1391"/>
      <c r="P116" s="339"/>
    </row>
    <row r="117" spans="1:16">
      <c r="A117" s="351" t="s">
        <v>376</v>
      </c>
      <c r="B117" s="351" t="s">
        <v>1232</v>
      </c>
      <c r="C117" s="1391"/>
      <c r="D117" s="1391"/>
      <c r="E117" s="1391"/>
      <c r="F117" s="1391"/>
      <c r="G117" s="1391"/>
      <c r="H117" s="1391"/>
      <c r="I117" s="346"/>
      <c r="J117" s="338"/>
      <c r="K117" s="1391"/>
      <c r="L117" s="1391"/>
      <c r="M117" s="1391"/>
      <c r="N117" s="1391"/>
      <c r="O117" s="1391"/>
      <c r="P117" s="339"/>
    </row>
    <row r="118" spans="1:16">
      <c r="A118" s="351"/>
      <c r="B118" s="1174"/>
      <c r="C118" s="351"/>
      <c r="D118" s="1391"/>
      <c r="E118" s="1391"/>
      <c r="F118" s="1391"/>
      <c r="G118" s="1391"/>
      <c r="H118" s="1391"/>
      <c r="I118" s="346"/>
      <c r="J118" s="338"/>
      <c r="K118" s="1391"/>
      <c r="L118" s="1391"/>
      <c r="M118" s="1391"/>
      <c r="N118" s="1391"/>
      <c r="O118" s="1391"/>
      <c r="P118" s="1391"/>
    </row>
    <row r="119" spans="1:16">
      <c r="A119" s="1174"/>
      <c r="B119" s="1174"/>
      <c r="C119" s="338" t="s">
        <v>571</v>
      </c>
      <c r="D119" s="1391"/>
      <c r="E119" s="1391" t="str">
        <f>'Part I-Project Information'!E94</f>
        <v>Urban Residential Finance Authority of the City of Atlanta, Georgia</v>
      </c>
      <c r="F119" s="1391"/>
      <c r="G119" s="1391"/>
      <c r="H119" s="1391"/>
      <c r="I119" s="1391"/>
      <c r="J119" s="1391"/>
      <c r="K119" s="1391"/>
      <c r="L119" s="1391"/>
      <c r="M119" s="353" t="s">
        <v>572</v>
      </c>
      <c r="N119" s="353"/>
      <c r="O119" s="1440">
        <f>'Part I-Project Information'!O94</f>
        <v>42509</v>
      </c>
      <c r="P119" s="1440"/>
    </row>
    <row r="120" spans="1:16">
      <c r="A120" s="1391"/>
      <c r="B120" s="1391"/>
      <c r="C120" s="1386" t="s">
        <v>1058</v>
      </c>
      <c r="D120" s="336"/>
      <c r="E120" s="1391" t="str">
        <f>'Part I-Project Information'!E95</f>
        <v>133 Peachtree Street, NE, Suite 2900</v>
      </c>
      <c r="F120" s="1391"/>
      <c r="G120" s="1391"/>
      <c r="H120" s="1391"/>
      <c r="I120" s="1391"/>
      <c r="J120" s="1391"/>
      <c r="K120" s="1391"/>
      <c r="L120" s="1391"/>
      <c r="M120" s="353" t="s">
        <v>840</v>
      </c>
      <c r="N120" s="353"/>
      <c r="O120" s="1418">
        <f>'Part I-Project Information'!O95</f>
        <v>2016</v>
      </c>
      <c r="P120" s="1418"/>
    </row>
    <row r="121" spans="1:16">
      <c r="A121" s="1391"/>
      <c r="B121" s="1391"/>
      <c r="C121" s="1386" t="s">
        <v>642</v>
      </c>
      <c r="D121" s="1391"/>
      <c r="E121" s="1391" t="str">
        <f>'Part I-Project Information'!E96</f>
        <v>Atlanta</v>
      </c>
      <c r="F121" s="353"/>
      <c r="G121" s="353"/>
      <c r="H121" s="1394" t="s">
        <v>1865</v>
      </c>
      <c r="I121" s="1394" t="str">
        <f>'Part I-Project Information'!I96</f>
        <v>GA</v>
      </c>
      <c r="J121" s="1394" t="s">
        <v>2308</v>
      </c>
      <c r="K121" s="1417">
        <f>'Part I-Project Information'!K96</f>
        <v>0</v>
      </c>
      <c r="L121" s="353"/>
      <c r="M121" s="338" t="s">
        <v>4103</v>
      </c>
      <c r="N121" s="338"/>
      <c r="O121" s="1441">
        <f>'Part I-Project Information'!O96</f>
        <v>12500000</v>
      </c>
      <c r="P121" s="1441"/>
    </row>
    <row r="122" spans="1:16">
      <c r="A122" s="1391"/>
      <c r="B122" s="1391"/>
      <c r="C122" s="1391" t="s">
        <v>2273</v>
      </c>
      <c r="D122" s="1391"/>
      <c r="E122" s="1391" t="str">
        <f>'Part I-Project Information'!E97</f>
        <v>Eloisa Klementich</v>
      </c>
      <c r="F122" s="353"/>
      <c r="G122" s="353"/>
      <c r="H122" s="1394" t="s">
        <v>2055</v>
      </c>
      <c r="I122" s="1391" t="str">
        <f>'Part I-Project Information'!I97</f>
        <v>President &amp; CEO</v>
      </c>
      <c r="J122" s="353"/>
      <c r="K122" s="353"/>
      <c r="L122" s="1394" t="s">
        <v>2059</v>
      </c>
      <c r="M122" s="1391" t="str">
        <f>'Part I-Project Information'!M97</f>
        <v>eklementich@investatlanta.com</v>
      </c>
      <c r="N122" s="353"/>
      <c r="O122" s="353"/>
      <c r="P122" s="353"/>
    </row>
    <row r="123" spans="1:16">
      <c r="A123" s="1391"/>
      <c r="B123" s="1391"/>
      <c r="C123" s="1386" t="s">
        <v>2272</v>
      </c>
      <c r="D123" s="1391"/>
      <c r="E123" s="1416">
        <f>'Part I-Project Information'!E98</f>
        <v>4048804100</v>
      </c>
      <c r="F123" s="1416"/>
      <c r="G123" s="1416"/>
      <c r="H123" s="1394" t="s">
        <v>1868</v>
      </c>
      <c r="I123" s="1416">
        <f>'Part I-Project Information'!I98</f>
        <v>0</v>
      </c>
      <c r="J123" s="353"/>
      <c r="K123" s="1394" t="s">
        <v>1869</v>
      </c>
      <c r="L123" s="1416">
        <f>'Part I-Project Information'!L98</f>
        <v>4046148314</v>
      </c>
      <c r="M123" s="353"/>
      <c r="N123" s="1394" t="s">
        <v>2054</v>
      </c>
      <c r="O123" s="1416">
        <f>'Part I-Project Information'!O98</f>
        <v>0</v>
      </c>
      <c r="P123" s="353"/>
    </row>
    <row r="124" spans="1:16">
      <c r="A124" s="1174"/>
      <c r="B124" s="1174"/>
      <c r="C124" s="1391"/>
      <c r="D124" s="1391"/>
      <c r="E124" s="1391"/>
      <c r="F124" s="1391"/>
      <c r="G124" s="346"/>
      <c r="H124" s="1394"/>
      <c r="I124" s="1394"/>
      <c r="J124" s="1391"/>
      <c r="K124" s="1391"/>
      <c r="L124" s="1391"/>
      <c r="M124" s="339"/>
      <c r="N124" s="1391"/>
      <c r="O124" s="1391"/>
      <c r="P124" s="1391"/>
    </row>
    <row r="125" spans="1:16">
      <c r="A125" s="351" t="s">
        <v>377</v>
      </c>
      <c r="B125" s="1387" t="s">
        <v>1728</v>
      </c>
      <c r="C125" s="1391"/>
      <c r="D125" s="346"/>
      <c r="E125" s="346"/>
      <c r="F125" s="1394"/>
      <c r="G125" s="1394"/>
      <c r="H125" s="1394"/>
      <c r="I125" s="1394"/>
      <c r="J125" s="346"/>
      <c r="K125" s="1394"/>
      <c r="L125" s="1394"/>
      <c r="M125" s="1391"/>
      <c r="N125" s="1391"/>
      <c r="O125" s="1391"/>
      <c r="P125" s="339"/>
    </row>
    <row r="126" spans="1:16">
      <c r="A126" s="351"/>
      <c r="B126" s="1387"/>
      <c r="C126" s="1391"/>
      <c r="D126" s="346"/>
      <c r="E126" s="346"/>
      <c r="F126" s="1394"/>
      <c r="G126" s="1394"/>
      <c r="H126" s="1394"/>
      <c r="I126" s="1394"/>
      <c r="J126" s="346"/>
      <c r="K126" s="1394"/>
      <c r="L126" s="1394"/>
      <c r="M126" s="1391"/>
      <c r="N126" s="1391"/>
      <c r="O126" s="1391"/>
      <c r="P126" s="339"/>
    </row>
    <row r="127" spans="1:16">
      <c r="A127" s="1391"/>
      <c r="B127" s="353" t="s">
        <v>2231</v>
      </c>
      <c r="C127" s="1391"/>
      <c r="D127" s="1442"/>
      <c r="E127" s="1442"/>
      <c r="F127" s="1442"/>
      <c r="G127" s="1442"/>
      <c r="H127" s="1442"/>
      <c r="I127" s="1442"/>
      <c r="J127" s="1442"/>
      <c r="K127" s="1442"/>
      <c r="L127" s="1442"/>
      <c r="M127" s="1442"/>
      <c r="N127" s="1442"/>
      <c r="O127" s="1442"/>
      <c r="P127" s="1442"/>
    </row>
    <row r="128" spans="1:16">
      <c r="A128" s="1174"/>
      <c r="B128" s="1174"/>
      <c r="C128" s="1443"/>
      <c r="D128" s="1443"/>
      <c r="E128" s="1443"/>
      <c r="F128" s="1443"/>
      <c r="G128" s="1443"/>
      <c r="H128" s="1443"/>
      <c r="I128" s="1443"/>
      <c r="J128" s="1443"/>
      <c r="K128" s="1443"/>
      <c r="L128" s="1443"/>
      <c r="M128" s="1443"/>
      <c r="N128" s="1443"/>
      <c r="O128" s="1443"/>
      <c r="P128" s="1443"/>
    </row>
    <row r="129" spans="1:16">
      <c r="A129" s="1174"/>
      <c r="B129" s="1174" t="s">
        <v>2058</v>
      </c>
      <c r="C129" s="1387" t="s">
        <v>1466</v>
      </c>
      <c r="D129" s="1388"/>
      <c r="E129" s="1388"/>
      <c r="F129" s="1394"/>
      <c r="G129" s="1394"/>
      <c r="H129" s="346">
        <f>'Part I-Project Information'!H104</f>
        <v>0</v>
      </c>
      <c r="I129" s="1391"/>
      <c r="J129" s="1391"/>
      <c r="K129" s="1391"/>
      <c r="L129" s="1391"/>
      <c r="M129" s="1391"/>
      <c r="N129" s="1391"/>
      <c r="O129" s="1391"/>
      <c r="P129" s="1391"/>
    </row>
    <row r="130" spans="1:16">
      <c r="A130" s="1174"/>
      <c r="B130" s="1174"/>
      <c r="C130" s="1443"/>
      <c r="D130" s="1443"/>
      <c r="E130" s="1443"/>
      <c r="F130" s="1443"/>
      <c r="G130" s="1443"/>
      <c r="H130" s="1443"/>
      <c r="I130" s="1391"/>
      <c r="J130" s="1443"/>
      <c r="K130" s="1391"/>
      <c r="L130" s="1391"/>
      <c r="M130" s="1443"/>
      <c r="N130" s="1443"/>
      <c r="O130" s="1443"/>
      <c r="P130" s="1391"/>
    </row>
    <row r="131" spans="1:16">
      <c r="A131" s="1174"/>
      <c r="B131" s="1174" t="s">
        <v>2061</v>
      </c>
      <c r="C131" s="1387" t="s">
        <v>430</v>
      </c>
      <c r="D131" s="1388"/>
      <c r="E131" s="1388"/>
      <c r="F131" s="1394"/>
      <c r="G131" s="1394"/>
      <c r="H131" s="1444">
        <f>'Part I-Project Information'!H106</f>
        <v>0</v>
      </c>
      <c r="I131" s="1391"/>
      <c r="J131" s="346"/>
      <c r="K131" s="1386"/>
      <c r="L131" s="1391"/>
      <c r="M131" s="1391"/>
      <c r="N131" s="1391"/>
      <c r="O131" s="1391"/>
      <c r="P131" s="1391"/>
    </row>
    <row r="132" spans="1:16">
      <c r="A132" s="1174"/>
      <c r="B132" s="1174"/>
      <c r="C132" s="1443"/>
      <c r="D132" s="1443"/>
      <c r="E132" s="1443"/>
      <c r="F132" s="1443"/>
      <c r="G132" s="1443"/>
      <c r="H132" s="1443"/>
      <c r="I132" s="1443"/>
      <c r="J132" s="1443"/>
      <c r="K132" s="1443"/>
      <c r="L132" s="1391"/>
      <c r="M132" s="1443"/>
      <c r="N132" s="1443"/>
      <c r="O132" s="1443"/>
      <c r="P132" s="1443"/>
    </row>
    <row r="133" spans="1:16">
      <c r="A133" s="1391"/>
      <c r="B133" s="1174" t="s">
        <v>779</v>
      </c>
      <c r="C133" s="1387" t="s">
        <v>315</v>
      </c>
      <c r="D133" s="1388"/>
      <c r="E133" s="1388"/>
      <c r="F133" s="1394"/>
      <c r="G133" s="1394"/>
      <c r="H133" s="1394"/>
      <c r="I133" s="1394"/>
      <c r="J133" s="346"/>
      <c r="K133" s="1394"/>
      <c r="L133" s="1394"/>
      <c r="M133" s="1391"/>
      <c r="N133" s="1391"/>
      <c r="O133" s="1391"/>
      <c r="P133" s="1391"/>
    </row>
    <row r="134" spans="1:16">
      <c r="A134" s="1391"/>
      <c r="B134" s="1174"/>
      <c r="C134" s="1388" t="s">
        <v>2213</v>
      </c>
      <c r="D134" s="1388"/>
      <c r="E134" s="1391"/>
      <c r="F134" s="1388" t="s">
        <v>1175</v>
      </c>
      <c r="G134" s="1394"/>
      <c r="H134" s="1394"/>
      <c r="I134" s="1394" t="s">
        <v>1343</v>
      </c>
      <c r="J134" s="1388" t="s">
        <v>2213</v>
      </c>
      <c r="K134" s="1388"/>
      <c r="L134" s="1391"/>
      <c r="M134" s="1388" t="s">
        <v>1175</v>
      </c>
      <c r="N134" s="1394"/>
      <c r="O134" s="1394"/>
      <c r="P134" s="1394" t="s">
        <v>1343</v>
      </c>
    </row>
    <row r="135" spans="1:16" ht="13.5">
      <c r="A135" s="1174"/>
      <c r="B135" s="1174"/>
      <c r="C135" s="1415">
        <f>'Part I-Project Information'!C110</f>
        <v>1</v>
      </c>
      <c r="D135" s="1415"/>
      <c r="E135" s="1415"/>
      <c r="F135" s="1415">
        <f>'Part I-Project Information'!F110</f>
        <v>0</v>
      </c>
      <c r="G135" s="1415"/>
      <c r="H135" s="1415"/>
      <c r="I135" s="1415">
        <f>'Part I-Project Information'!I110</f>
        <v>0</v>
      </c>
      <c r="J135" s="1415">
        <f>'Part I-Project Information'!J110</f>
        <v>7</v>
      </c>
      <c r="K135" s="1415"/>
      <c r="L135" s="1415"/>
      <c r="M135" s="1415">
        <f>'Part I-Project Information'!M110</f>
        <v>0</v>
      </c>
      <c r="N135" s="1415"/>
      <c r="O135" s="1415"/>
      <c r="P135" s="1415">
        <f>'Part I-Project Information'!P110</f>
        <v>0</v>
      </c>
    </row>
    <row r="136" spans="1:16" ht="13.5">
      <c r="A136" s="1174"/>
      <c r="B136" s="1174"/>
      <c r="C136" s="1415">
        <f>'Part I-Project Information'!C111</f>
        <v>2</v>
      </c>
      <c r="D136" s="1415"/>
      <c r="E136" s="1415"/>
      <c r="F136" s="1415">
        <f>'Part I-Project Information'!F111</f>
        <v>0</v>
      </c>
      <c r="G136" s="1415"/>
      <c r="H136" s="1415"/>
      <c r="I136" s="1415">
        <f>'Part I-Project Information'!I111</f>
        <v>0</v>
      </c>
      <c r="J136" s="1415">
        <f>'Part I-Project Information'!J111</f>
        <v>8</v>
      </c>
      <c r="K136" s="1415"/>
      <c r="L136" s="1415"/>
      <c r="M136" s="1415">
        <f>'Part I-Project Information'!M111</f>
        <v>0</v>
      </c>
      <c r="N136" s="1415"/>
      <c r="O136" s="1415"/>
      <c r="P136" s="1415">
        <f>'Part I-Project Information'!P111</f>
        <v>0</v>
      </c>
    </row>
    <row r="137" spans="1:16" ht="13.5">
      <c r="A137" s="1174"/>
      <c r="B137" s="1174"/>
      <c r="C137" s="1415">
        <f>'Part I-Project Information'!C112</f>
        <v>3</v>
      </c>
      <c r="D137" s="1415"/>
      <c r="E137" s="1415"/>
      <c r="F137" s="1415">
        <f>'Part I-Project Information'!F112</f>
        <v>0</v>
      </c>
      <c r="G137" s="1415"/>
      <c r="H137" s="1415"/>
      <c r="I137" s="1415">
        <f>'Part I-Project Information'!I112</f>
        <v>0</v>
      </c>
      <c r="J137" s="1415">
        <f>'Part I-Project Information'!J112</f>
        <v>9</v>
      </c>
      <c r="K137" s="1415"/>
      <c r="L137" s="1415"/>
      <c r="M137" s="1415">
        <f>'Part I-Project Information'!M112</f>
        <v>0</v>
      </c>
      <c r="N137" s="1415"/>
      <c r="O137" s="1415"/>
      <c r="P137" s="1415">
        <f>'Part I-Project Information'!P112</f>
        <v>0</v>
      </c>
    </row>
    <row r="138" spans="1:16" ht="13.5">
      <c r="A138" s="1174"/>
      <c r="B138" s="1174"/>
      <c r="C138" s="1415">
        <f>'Part I-Project Information'!C113</f>
        <v>4</v>
      </c>
      <c r="D138" s="1415"/>
      <c r="E138" s="1415"/>
      <c r="F138" s="1415">
        <f>'Part I-Project Information'!F113</f>
        <v>0</v>
      </c>
      <c r="G138" s="1415"/>
      <c r="H138" s="1415"/>
      <c r="I138" s="1415">
        <f>'Part I-Project Information'!I113</f>
        <v>0</v>
      </c>
      <c r="J138" s="1415">
        <f>'Part I-Project Information'!J113</f>
        <v>10</v>
      </c>
      <c r="K138" s="1415"/>
      <c r="L138" s="1415"/>
      <c r="M138" s="1415">
        <f>'Part I-Project Information'!M113</f>
        <v>0</v>
      </c>
      <c r="N138" s="1415"/>
      <c r="O138" s="1415"/>
      <c r="P138" s="1415">
        <f>'Part I-Project Information'!P113</f>
        <v>0</v>
      </c>
    </row>
    <row r="139" spans="1:16" ht="13.5">
      <c r="A139" s="1174"/>
      <c r="B139" s="1174"/>
      <c r="C139" s="1415">
        <f>'Part I-Project Information'!C114</f>
        <v>5</v>
      </c>
      <c r="D139" s="1415"/>
      <c r="E139" s="1415"/>
      <c r="F139" s="1415">
        <f>'Part I-Project Information'!F114</f>
        <v>0</v>
      </c>
      <c r="G139" s="1415"/>
      <c r="H139" s="1415"/>
      <c r="I139" s="1415">
        <f>'Part I-Project Information'!I114</f>
        <v>0</v>
      </c>
      <c r="J139" s="1415">
        <f>'Part I-Project Information'!J114</f>
        <v>11</v>
      </c>
      <c r="K139" s="1415"/>
      <c r="L139" s="1415"/>
      <c r="M139" s="1415">
        <f>'Part I-Project Information'!M114</f>
        <v>0</v>
      </c>
      <c r="N139" s="1415"/>
      <c r="O139" s="1415"/>
      <c r="P139" s="1415">
        <f>'Part I-Project Information'!P114</f>
        <v>0</v>
      </c>
    </row>
    <row r="140" spans="1:16" ht="13.5">
      <c r="A140" s="1174"/>
      <c r="B140" s="1174"/>
      <c r="C140" s="1415">
        <f>'Part I-Project Information'!C115</f>
        <v>6</v>
      </c>
      <c r="D140" s="1415"/>
      <c r="E140" s="1415"/>
      <c r="F140" s="1415">
        <f>'Part I-Project Information'!F115</f>
        <v>0</v>
      </c>
      <c r="G140" s="1415"/>
      <c r="H140" s="1415"/>
      <c r="I140" s="1415">
        <f>'Part I-Project Information'!I115</f>
        <v>0</v>
      </c>
      <c r="J140" s="1415">
        <f>'Part I-Project Information'!J115</f>
        <v>12</v>
      </c>
      <c r="K140" s="1415"/>
      <c r="L140" s="1415"/>
      <c r="M140" s="1415">
        <f>'Part I-Project Information'!M115</f>
        <v>0</v>
      </c>
      <c r="N140" s="1415"/>
      <c r="O140" s="1415"/>
      <c r="P140" s="1415">
        <f>'Part I-Project Information'!P115</f>
        <v>0</v>
      </c>
    </row>
    <row r="141" spans="1:16">
      <c r="A141" s="1174"/>
      <c r="B141" s="1174"/>
      <c r="C141" s="1443"/>
      <c r="D141" s="1443"/>
      <c r="E141" s="1443"/>
      <c r="F141" s="1443"/>
      <c r="G141" s="1443"/>
      <c r="H141" s="1443"/>
      <c r="I141" s="1443"/>
      <c r="J141" s="1443"/>
      <c r="K141" s="1443"/>
      <c r="L141" s="1443"/>
      <c r="M141" s="1443"/>
      <c r="N141" s="1443"/>
      <c r="O141" s="1443"/>
      <c r="P141" s="1443"/>
    </row>
    <row r="142" spans="1:16" ht="12.75" customHeight="1">
      <c r="A142" s="1174"/>
      <c r="B142" s="1174" t="s">
        <v>2193</v>
      </c>
      <c r="C142" s="1445" t="s">
        <v>1917</v>
      </c>
      <c r="D142" s="1445"/>
      <c r="E142" s="1445"/>
      <c r="F142" s="1445"/>
      <c r="G142" s="1445"/>
      <c r="H142" s="1445"/>
      <c r="I142" s="1445"/>
      <c r="J142" s="1445"/>
      <c r="K142" s="1445"/>
      <c r="L142" s="1445"/>
      <c r="M142" s="1445"/>
      <c r="N142" s="1445"/>
      <c r="O142" s="1445"/>
      <c r="P142" s="1445"/>
    </row>
    <row r="143" spans="1:16">
      <c r="A143" s="1174"/>
      <c r="B143" s="1174"/>
      <c r="C143" s="1445"/>
      <c r="D143" s="1445"/>
      <c r="E143" s="1445"/>
      <c r="F143" s="1445"/>
      <c r="G143" s="1445"/>
      <c r="H143" s="1445"/>
      <c r="I143" s="1445"/>
      <c r="J143" s="1445"/>
      <c r="K143" s="1445"/>
      <c r="L143" s="1445"/>
      <c r="M143" s="1445"/>
      <c r="N143" s="1445"/>
      <c r="O143" s="1445"/>
      <c r="P143" s="1445"/>
    </row>
    <row r="144" spans="1:16">
      <c r="A144" s="1391"/>
      <c r="B144" s="1174"/>
      <c r="C144" s="1388" t="s">
        <v>2213</v>
      </c>
      <c r="D144" s="1388"/>
      <c r="E144" s="1391"/>
      <c r="F144" s="1388" t="s">
        <v>1175</v>
      </c>
      <c r="G144" s="1394"/>
      <c r="H144" s="1394"/>
      <c r="I144" s="1394"/>
      <c r="J144" s="1388" t="s">
        <v>2213</v>
      </c>
      <c r="K144" s="1388"/>
      <c r="L144" s="1391"/>
      <c r="M144" s="1388" t="s">
        <v>1175</v>
      </c>
      <c r="N144" s="1394"/>
      <c r="O144" s="1394"/>
      <c r="P144" s="1394"/>
    </row>
    <row r="145" spans="1:16" ht="13.5">
      <c r="A145" s="1174"/>
      <c r="B145" s="1174"/>
      <c r="C145" s="1415">
        <f>'Part I-Project Information'!C120</f>
        <v>1</v>
      </c>
      <c r="D145" s="1415"/>
      <c r="E145" s="1415"/>
      <c r="F145" s="1415">
        <f>'Part I-Project Information'!F120</f>
        <v>0</v>
      </c>
      <c r="G145" s="1415"/>
      <c r="H145" s="1415"/>
      <c r="I145" s="1415"/>
      <c r="J145" s="1415">
        <f>'Part I-Project Information'!J120</f>
        <v>7</v>
      </c>
      <c r="K145" s="1415"/>
      <c r="L145" s="1415"/>
      <c r="M145" s="1415">
        <f>'Part I-Project Information'!M120</f>
        <v>0</v>
      </c>
      <c r="N145" s="1415"/>
      <c r="O145" s="1415"/>
      <c r="P145" s="1415"/>
    </row>
    <row r="146" spans="1:16" ht="13.5">
      <c r="A146" s="1174"/>
      <c r="B146" s="1174"/>
      <c r="C146" s="1415">
        <f>'Part I-Project Information'!C121</f>
        <v>2</v>
      </c>
      <c r="D146" s="1415"/>
      <c r="E146" s="1415"/>
      <c r="F146" s="1415">
        <f>'Part I-Project Information'!F121</f>
        <v>0</v>
      </c>
      <c r="G146" s="1415"/>
      <c r="H146" s="1415"/>
      <c r="I146" s="1415"/>
      <c r="J146" s="1415">
        <f>'Part I-Project Information'!J121</f>
        <v>8</v>
      </c>
      <c r="K146" s="1415"/>
      <c r="L146" s="1415"/>
      <c r="M146" s="1415">
        <f>'Part I-Project Information'!M121</f>
        <v>0</v>
      </c>
      <c r="N146" s="1415"/>
      <c r="O146" s="1415"/>
      <c r="P146" s="1415"/>
    </row>
    <row r="147" spans="1:16" ht="13.5">
      <c r="A147" s="1174"/>
      <c r="B147" s="1174"/>
      <c r="C147" s="1415">
        <f>'Part I-Project Information'!C122</f>
        <v>3</v>
      </c>
      <c r="D147" s="1415"/>
      <c r="E147" s="1415"/>
      <c r="F147" s="1415">
        <f>'Part I-Project Information'!F122</f>
        <v>0</v>
      </c>
      <c r="G147" s="1415"/>
      <c r="H147" s="1415"/>
      <c r="I147" s="1415"/>
      <c r="J147" s="1415">
        <f>'Part I-Project Information'!J122</f>
        <v>9</v>
      </c>
      <c r="K147" s="1415"/>
      <c r="L147" s="1415"/>
      <c r="M147" s="1415">
        <f>'Part I-Project Information'!M122</f>
        <v>0</v>
      </c>
      <c r="N147" s="1415"/>
      <c r="O147" s="1415"/>
      <c r="P147" s="1415"/>
    </row>
    <row r="148" spans="1:16" ht="13.5">
      <c r="A148" s="1174"/>
      <c r="B148" s="1174"/>
      <c r="C148" s="1415">
        <f>'Part I-Project Information'!C123</f>
        <v>4</v>
      </c>
      <c r="D148" s="1415"/>
      <c r="E148" s="1415"/>
      <c r="F148" s="1415">
        <f>'Part I-Project Information'!F123</f>
        <v>0</v>
      </c>
      <c r="G148" s="1415"/>
      <c r="H148" s="1415"/>
      <c r="I148" s="1415"/>
      <c r="J148" s="1415">
        <f>'Part I-Project Information'!J123</f>
        <v>10</v>
      </c>
      <c r="K148" s="1415"/>
      <c r="L148" s="1415"/>
      <c r="M148" s="1415">
        <f>'Part I-Project Information'!M123</f>
        <v>0</v>
      </c>
      <c r="N148" s="1415"/>
      <c r="O148" s="1415"/>
      <c r="P148" s="1415"/>
    </row>
    <row r="149" spans="1:16" ht="13.5">
      <c r="A149" s="1174"/>
      <c r="B149" s="1174"/>
      <c r="C149" s="1415">
        <f>'Part I-Project Information'!C124</f>
        <v>5</v>
      </c>
      <c r="D149" s="1415"/>
      <c r="E149" s="1415"/>
      <c r="F149" s="1415">
        <f>'Part I-Project Information'!F124</f>
        <v>0</v>
      </c>
      <c r="G149" s="1415"/>
      <c r="H149" s="1415"/>
      <c r="I149" s="1415"/>
      <c r="J149" s="1415">
        <f>'Part I-Project Information'!J124</f>
        <v>11</v>
      </c>
      <c r="K149" s="1415"/>
      <c r="L149" s="1415"/>
      <c r="M149" s="1415">
        <f>'Part I-Project Information'!M124</f>
        <v>0</v>
      </c>
      <c r="N149" s="1415"/>
      <c r="O149" s="1415"/>
      <c r="P149" s="1415"/>
    </row>
    <row r="150" spans="1:16" ht="13.5">
      <c r="A150" s="1174"/>
      <c r="B150" s="1174"/>
      <c r="C150" s="1415">
        <f>'Part I-Project Information'!C125</f>
        <v>6</v>
      </c>
      <c r="D150" s="1415"/>
      <c r="E150" s="1415"/>
      <c r="F150" s="1415">
        <f>'Part I-Project Information'!F125</f>
        <v>0</v>
      </c>
      <c r="G150" s="1415"/>
      <c r="H150" s="1415"/>
      <c r="I150" s="1415"/>
      <c r="J150" s="1415">
        <f>'Part I-Project Information'!J125</f>
        <v>12</v>
      </c>
      <c r="K150" s="1415"/>
      <c r="L150" s="1415"/>
      <c r="M150" s="1415">
        <f>'Part I-Project Information'!M125</f>
        <v>0</v>
      </c>
      <c r="N150" s="1415"/>
      <c r="O150" s="1415"/>
      <c r="P150" s="1415"/>
    </row>
    <row r="151" spans="1:16">
      <c r="A151" s="1174"/>
      <c r="B151" s="1174"/>
      <c r="C151" s="1388"/>
      <c r="D151" s="1388"/>
      <c r="E151" s="1388"/>
      <c r="F151" s="1394"/>
      <c r="G151" s="1394"/>
      <c r="H151" s="1394"/>
      <c r="I151" s="1394"/>
      <c r="J151" s="346"/>
      <c r="K151" s="1394"/>
      <c r="L151" s="1394"/>
      <c r="M151" s="1391"/>
      <c r="N151" s="1391"/>
      <c r="O151" s="1391"/>
      <c r="P151" s="339"/>
    </row>
    <row r="152" spans="1:16">
      <c r="A152" s="351" t="s">
        <v>378</v>
      </c>
      <c r="B152" s="354" t="s">
        <v>2503</v>
      </c>
      <c r="C152" s="1391"/>
      <c r="D152" s="354"/>
      <c r="E152" s="354"/>
      <c r="F152" s="354"/>
      <c r="G152" s="1391"/>
      <c r="H152" s="1394" t="str">
        <f>'Part I-Project Information'!H127</f>
        <v>No</v>
      </c>
      <c r="I152" s="1391"/>
      <c r="J152" s="1391"/>
      <c r="K152" s="1391"/>
      <c r="L152" s="1391"/>
      <c r="M152" s="1394"/>
      <c r="N152" s="1391"/>
      <c r="O152" s="1391"/>
      <c r="P152" s="339"/>
    </row>
    <row r="153" spans="1:16">
      <c r="A153" s="351"/>
      <c r="B153" s="1174"/>
      <c r="C153" s="1387"/>
      <c r="D153" s="1387"/>
      <c r="E153" s="1387"/>
      <c r="F153" s="1387"/>
      <c r="G153" s="1394"/>
      <c r="H153" s="1391"/>
      <c r="I153" s="1391"/>
      <c r="J153" s="1391"/>
      <c r="K153" s="1391"/>
      <c r="L153" s="1391"/>
      <c r="M153" s="1394"/>
      <c r="N153" s="1391"/>
      <c r="O153" s="1391"/>
      <c r="P153" s="1391"/>
    </row>
    <row r="154" spans="1:16">
      <c r="A154" s="1174"/>
      <c r="B154" s="1174" t="s">
        <v>2058</v>
      </c>
      <c r="C154" s="296" t="s">
        <v>1777</v>
      </c>
      <c r="D154" s="1391"/>
      <c r="E154" s="1391"/>
      <c r="F154" s="1391"/>
      <c r="G154" s="1391"/>
      <c r="H154" s="1394">
        <f>'Part I-Project Information'!H129</f>
        <v>0</v>
      </c>
      <c r="I154" s="1391"/>
      <c r="J154" s="1391"/>
      <c r="K154" s="1391"/>
      <c r="L154" s="1391"/>
      <c r="M154" s="1394"/>
      <c r="N154" s="1391"/>
      <c r="O154" s="1391"/>
      <c r="P154" s="339"/>
    </row>
    <row r="155" spans="1:16">
      <c r="A155" s="1174"/>
      <c r="B155" s="1174"/>
      <c r="C155" s="1388" t="s">
        <v>2505</v>
      </c>
      <c r="D155" s="1388"/>
      <c r="E155" s="1388"/>
      <c r="F155" s="1394"/>
      <c r="G155" s="1391"/>
      <c r="H155" s="1446">
        <f>'Part I-Project Information'!H130</f>
        <v>0</v>
      </c>
      <c r="I155" s="1391"/>
      <c r="J155" s="1391"/>
      <c r="K155" s="1391"/>
      <c r="L155" s="1391"/>
      <c r="M155" s="1391"/>
      <c r="N155" s="1391"/>
      <c r="O155" s="1391"/>
      <c r="P155" s="339"/>
    </row>
    <row r="156" spans="1:16">
      <c r="A156" s="1174"/>
      <c r="B156" s="1174"/>
      <c r="C156" s="362" t="s">
        <v>1776</v>
      </c>
      <c r="D156" s="1386"/>
      <c r="E156" s="1391"/>
      <c r="F156" s="1391"/>
      <c r="G156" s="1391"/>
      <c r="H156" s="1391">
        <f>'Part I-Project Information'!H131</f>
        <v>0</v>
      </c>
      <c r="I156" s="1391"/>
      <c r="J156" s="1391"/>
      <c r="K156" s="1391"/>
      <c r="L156" s="1391"/>
      <c r="M156" s="1391"/>
      <c r="N156" s="1391"/>
      <c r="O156" s="1391"/>
      <c r="P156" s="339"/>
    </row>
    <row r="157" spans="1:16">
      <c r="A157" s="1174"/>
      <c r="B157" s="1174"/>
      <c r="C157" s="1388" t="s">
        <v>2506</v>
      </c>
      <c r="D157" s="1388"/>
      <c r="E157" s="1388"/>
      <c r="F157" s="1394"/>
      <c r="G157" s="1391"/>
      <c r="H157" s="1446">
        <f>'Part I-Project Information'!H132</f>
        <v>0</v>
      </c>
      <c r="I157" s="1391"/>
      <c r="J157" s="1391"/>
      <c r="K157" s="338" t="s">
        <v>2325</v>
      </c>
      <c r="L157" s="1391"/>
      <c r="M157" s="1391"/>
      <c r="N157" s="1391"/>
      <c r="O157" s="1391" t="str">
        <f>'Part I-Project Information'!O132</f>
        <v>GA-</v>
      </c>
      <c r="P157" s="1391"/>
    </row>
    <row r="158" spans="1:16">
      <c r="A158" s="1174"/>
      <c r="B158" s="1174"/>
      <c r="C158" s="1388" t="s">
        <v>2504</v>
      </c>
      <c r="D158" s="1391"/>
      <c r="E158" s="1391"/>
      <c r="F158" s="1394"/>
      <c r="G158" s="1391"/>
      <c r="H158" s="1446">
        <f>'Part I-Project Information'!H133</f>
        <v>0</v>
      </c>
      <c r="I158" s="1391"/>
      <c r="J158" s="1391"/>
      <c r="K158" s="338" t="s">
        <v>2326</v>
      </c>
      <c r="L158" s="1391"/>
      <c r="M158" s="1391"/>
      <c r="N158" s="1391"/>
      <c r="O158" s="1391" t="str">
        <f>'Part I-Project Information'!O133</f>
        <v>GA-</v>
      </c>
      <c r="P158" s="1391"/>
    </row>
    <row r="159" spans="1:16">
      <c r="A159" s="1174"/>
      <c r="B159" s="1174"/>
      <c r="C159" s="1388" t="s">
        <v>2244</v>
      </c>
      <c r="D159" s="1388"/>
      <c r="E159" s="1388"/>
      <c r="F159" s="1394"/>
      <c r="G159" s="1391"/>
      <c r="H159" s="1440">
        <f>'Part I-Project Information'!H134</f>
        <v>0</v>
      </c>
      <c r="I159" s="1440"/>
      <c r="J159" s="1391"/>
      <c r="K159" s="1391"/>
      <c r="L159" s="1391"/>
      <c r="M159" s="1391"/>
      <c r="N159" s="1391"/>
      <c r="O159" s="1391"/>
      <c r="P159" s="339"/>
    </row>
    <row r="160" spans="1:16">
      <c r="A160" s="1174"/>
      <c r="B160" s="1174"/>
      <c r="C160" s="1388"/>
      <c r="D160" s="1388"/>
      <c r="E160" s="1388"/>
      <c r="F160" s="1394"/>
      <c r="G160" s="1391"/>
      <c r="H160" s="1391"/>
      <c r="I160" s="1391"/>
      <c r="J160" s="1391"/>
      <c r="K160" s="1391"/>
      <c r="L160" s="1391"/>
      <c r="M160" s="1391"/>
      <c r="N160" s="1391"/>
      <c r="O160" s="1391"/>
      <c r="P160" s="339"/>
    </row>
    <row r="161" spans="1:16">
      <c r="A161" s="1174"/>
      <c r="B161" s="1174" t="s">
        <v>2061</v>
      </c>
      <c r="C161" s="1387" t="s">
        <v>2576</v>
      </c>
      <c r="D161" s="1388"/>
      <c r="E161" s="1388"/>
      <c r="F161" s="1394"/>
      <c r="G161" s="1391"/>
      <c r="H161" s="346">
        <f>'Part I-Project Information'!H136</f>
        <v>0</v>
      </c>
      <c r="I161" s="1391"/>
      <c r="J161" s="1391"/>
      <c r="K161" s="1391"/>
      <c r="L161" s="1391"/>
      <c r="M161" s="1391"/>
      <c r="N161" s="1391"/>
      <c r="O161" s="1391"/>
      <c r="P161" s="339"/>
    </row>
    <row r="162" spans="1:16">
      <c r="A162" s="1174"/>
      <c r="B162" s="1174"/>
      <c r="C162" s="1388"/>
      <c r="D162" s="1388"/>
      <c r="E162" s="1388"/>
      <c r="F162" s="1394"/>
      <c r="G162" s="1394"/>
      <c r="H162" s="1391"/>
      <c r="I162" s="1391"/>
      <c r="J162" s="1391"/>
      <c r="K162" s="1391"/>
      <c r="L162" s="1391"/>
      <c r="M162" s="1394"/>
      <c r="N162" s="1391"/>
      <c r="O162" s="1391"/>
      <c r="P162" s="339"/>
    </row>
    <row r="163" spans="1:16">
      <c r="A163" s="1174"/>
      <c r="B163" s="1174" t="s">
        <v>779</v>
      </c>
      <c r="C163" s="1387" t="s">
        <v>2806</v>
      </c>
      <c r="D163" s="1388"/>
      <c r="E163" s="1388"/>
      <c r="F163" s="1394"/>
      <c r="G163" s="1394"/>
      <c r="H163" s="1391"/>
      <c r="I163" s="1391"/>
      <c r="J163" s="1391"/>
      <c r="K163" s="1391"/>
      <c r="L163" s="1391"/>
      <c r="M163" s="1391"/>
      <c r="N163" s="1391"/>
      <c r="O163" s="1391"/>
      <c r="P163" s="339"/>
    </row>
    <row r="164" spans="1:16">
      <c r="A164" s="1174"/>
      <c r="B164" s="1174"/>
      <c r="C164" s="1388" t="s">
        <v>748</v>
      </c>
      <c r="D164" s="1388"/>
      <c r="E164" s="1388"/>
      <c r="F164" s="1394"/>
      <c r="G164" s="1394"/>
      <c r="H164" s="346">
        <f>'Part I-Project Information'!H139</f>
        <v>0</v>
      </c>
      <c r="I164" s="1391"/>
      <c r="J164" s="1391"/>
      <c r="K164" s="1388" t="s">
        <v>1592</v>
      </c>
      <c r="L164" s="1388"/>
      <c r="M164" s="1394"/>
      <c r="N164" s="1394"/>
      <c r="O164" s="346">
        <f>'Part I-Project Information'!O139</f>
        <v>0</v>
      </c>
      <c r="P164" s="339"/>
    </row>
    <row r="165" spans="1:16">
      <c r="A165" s="1174"/>
      <c r="B165" s="1174"/>
      <c r="C165" s="1388"/>
      <c r="D165" s="1388"/>
      <c r="E165" s="1388"/>
      <c r="F165" s="1394"/>
      <c r="G165" s="1394"/>
      <c r="H165" s="1394"/>
      <c r="I165" s="1394"/>
      <c r="J165" s="346"/>
      <c r="K165" s="1394"/>
      <c r="L165" s="1394"/>
      <c r="M165" s="1391"/>
      <c r="N165" s="1391"/>
      <c r="O165" s="1391"/>
      <c r="P165" s="339"/>
    </row>
    <row r="166" spans="1:16">
      <c r="A166" s="351" t="s">
        <v>1792</v>
      </c>
      <c r="B166" s="354" t="s">
        <v>1233</v>
      </c>
      <c r="C166" s="1391"/>
      <c r="D166" s="354"/>
      <c r="E166" s="354"/>
      <c r="F166" s="354"/>
      <c r="G166" s="1394"/>
      <c r="H166" s="1394"/>
      <c r="I166" s="1394"/>
      <c r="J166" s="346"/>
      <c r="K166" s="1394"/>
      <c r="L166" s="1394"/>
      <c r="M166" s="1391"/>
      <c r="N166" s="1391"/>
      <c r="O166" s="1391"/>
      <c r="P166" s="339"/>
    </row>
    <row r="167" spans="1:16">
      <c r="A167" s="351"/>
      <c r="B167" s="1174"/>
      <c r="C167" s="1387"/>
      <c r="D167" s="1387"/>
      <c r="E167" s="1387"/>
      <c r="F167" s="1387"/>
      <c r="G167" s="1394"/>
      <c r="H167" s="1394"/>
      <c r="I167" s="1394"/>
      <c r="J167" s="346"/>
      <c r="K167" s="1394"/>
      <c r="L167" s="1394"/>
      <c r="M167" s="1391"/>
      <c r="N167" s="1391"/>
      <c r="O167" s="1391"/>
      <c r="P167" s="1391"/>
    </row>
    <row r="168" spans="1:16">
      <c r="A168" s="1174"/>
      <c r="B168" s="1174" t="s">
        <v>2058</v>
      </c>
      <c r="C168" s="345" t="s">
        <v>1891</v>
      </c>
      <c r="D168" s="1391"/>
      <c r="E168" s="1391"/>
      <c r="F168" s="1394"/>
      <c r="G168" s="1394"/>
      <c r="H168" s="1394"/>
      <c r="I168" s="1394"/>
      <c r="J168" s="346"/>
      <c r="K168" s="1394"/>
      <c r="L168" s="1394"/>
      <c r="M168" s="1391"/>
      <c r="N168" s="1391"/>
      <c r="O168" s="1391"/>
      <c r="P168" s="339"/>
    </row>
    <row r="169" spans="1:16">
      <c r="A169" s="1174"/>
      <c r="B169" s="1174"/>
      <c r="C169" s="353" t="s">
        <v>1584</v>
      </c>
      <c r="D169" s="346"/>
      <c r="E169" s="346"/>
      <c r="F169" s="1394"/>
      <c r="G169" s="1394"/>
      <c r="H169" s="1394"/>
      <c r="I169" s="1394"/>
      <c r="J169" s="1391"/>
      <c r="K169" s="346">
        <f>'Part I-Project Information'!K144</f>
        <v>0</v>
      </c>
      <c r="L169" s="1391"/>
      <c r="M169" s="1391"/>
      <c r="N169" s="1391"/>
      <c r="O169" s="1391"/>
      <c r="P169" s="339"/>
    </row>
    <row r="170" spans="1:16">
      <c r="A170" s="1174"/>
      <c r="B170" s="1174"/>
      <c r="C170" s="1391" t="s">
        <v>639</v>
      </c>
      <c r="D170" s="1391"/>
      <c r="E170" s="1391"/>
      <c r="F170" s="1391"/>
      <c r="G170" s="1391"/>
      <c r="H170" s="1391"/>
      <c r="I170" s="1391"/>
      <c r="J170" s="1391"/>
      <c r="K170" s="1436">
        <f>'Part I-Project Information'!K145</f>
        <v>0</v>
      </c>
      <c r="L170" s="1386" t="s">
        <v>1861</v>
      </c>
      <c r="M170" s="1391"/>
      <c r="N170" s="1391"/>
      <c r="O170" s="1391"/>
      <c r="P170" s="1447">
        <f>IF('Part VI-Revenues &amp; Expenses'!O$60=0,0,K170/'Part VI-Revenues &amp; Expenses'!$O$60)</f>
        <v>0</v>
      </c>
    </row>
    <row r="171" spans="1:16">
      <c r="A171" s="1174"/>
      <c r="B171" s="1174"/>
      <c r="C171" s="1391" t="s">
        <v>2245</v>
      </c>
      <c r="D171" s="1391"/>
      <c r="E171" s="1391"/>
      <c r="F171" s="1391"/>
      <c r="G171" s="1391"/>
      <c r="H171" s="1391"/>
      <c r="I171" s="1391"/>
      <c r="J171" s="1391"/>
      <c r="K171" s="1436">
        <f>'Part I-Project Information'!K146</f>
        <v>0</v>
      </c>
      <c r="L171" s="1386" t="s">
        <v>1861</v>
      </c>
      <c r="M171" s="1391"/>
      <c r="N171" s="1391"/>
      <c r="O171" s="1391"/>
      <c r="P171" s="1447">
        <f>IF('Part VI-Revenues &amp; Expenses'!O$60=0,0,K171/'Part VI-Revenues &amp; Expenses'!$O$60)</f>
        <v>0</v>
      </c>
    </row>
    <row r="172" spans="1:16">
      <c r="A172" s="1174"/>
      <c r="B172" s="1174"/>
      <c r="C172" s="1391" t="s">
        <v>1862</v>
      </c>
      <c r="D172" s="1391"/>
      <c r="E172" s="1391">
        <f>'Part I-Project Information'!E147</f>
        <v>0</v>
      </c>
      <c r="F172" s="1391"/>
      <c r="G172" s="1391"/>
      <c r="H172" s="1391"/>
      <c r="I172" s="1391"/>
      <c r="J172" s="1391"/>
      <c r="K172" s="1391"/>
      <c r="L172" s="1386" t="s">
        <v>1863</v>
      </c>
      <c r="M172" s="1391">
        <f>'Part I-Project Information'!M147</f>
        <v>0</v>
      </c>
      <c r="N172" s="1391"/>
      <c r="O172" s="1391"/>
      <c r="P172" s="1391"/>
    </row>
    <row r="173" spans="1:16">
      <c r="A173" s="1174"/>
      <c r="B173" s="1174"/>
      <c r="C173" s="1386" t="s">
        <v>1864</v>
      </c>
      <c r="D173" s="336"/>
      <c r="E173" s="1391">
        <f>'Part I-Project Information'!E148</f>
        <v>0</v>
      </c>
      <c r="F173" s="1391"/>
      <c r="G173" s="1391"/>
      <c r="H173" s="1391"/>
      <c r="I173" s="1391"/>
      <c r="J173" s="1391"/>
      <c r="K173" s="1391"/>
      <c r="L173" s="1386" t="s">
        <v>1869</v>
      </c>
      <c r="M173" s="1416">
        <f>'Part I-Project Information'!M148</f>
        <v>0</v>
      </c>
      <c r="N173" s="1416"/>
      <c r="O173" s="1416"/>
      <c r="P173" s="1391"/>
    </row>
    <row r="174" spans="1:16">
      <c r="A174" s="1174"/>
      <c r="B174" s="1174"/>
      <c r="C174" s="1386" t="s">
        <v>642</v>
      </c>
      <c r="D174" s="1391"/>
      <c r="E174" s="1391">
        <f>'Part I-Project Information'!E149</f>
        <v>0</v>
      </c>
      <c r="F174" s="1391"/>
      <c r="G174" s="1391"/>
      <c r="H174" s="1391"/>
      <c r="I174" s="1394" t="s">
        <v>2308</v>
      </c>
      <c r="J174" s="1417">
        <f>'Part I-Project Information'!J149</f>
        <v>0</v>
      </c>
      <c r="K174" s="1417"/>
      <c r="L174" s="1386" t="s">
        <v>2054</v>
      </c>
      <c r="M174" s="1416">
        <f>'Part I-Project Information'!M149</f>
        <v>0</v>
      </c>
      <c r="N174" s="1416"/>
      <c r="O174" s="1416"/>
      <c r="P174" s="1391"/>
    </row>
    <row r="175" spans="1:16">
      <c r="A175" s="1174"/>
      <c r="B175" s="1174"/>
      <c r="C175" s="1386" t="s">
        <v>1867</v>
      </c>
      <c r="D175" s="1391"/>
      <c r="E175" s="1416">
        <f>'Part I-Project Information'!E150</f>
        <v>0</v>
      </c>
      <c r="F175" s="1416"/>
      <c r="G175" s="1416"/>
      <c r="H175" s="1394"/>
      <c r="I175" s="1394" t="s">
        <v>1866</v>
      </c>
      <c r="J175" s="1418">
        <f>-'Part I-Project Information'!J150</f>
        <v>0</v>
      </c>
      <c r="K175" s="1418"/>
      <c r="L175" s="1418"/>
      <c r="M175" s="1418"/>
      <c r="N175" s="1418"/>
      <c r="O175" s="1418"/>
      <c r="P175" s="1418"/>
    </row>
    <row r="176" spans="1:16">
      <c r="A176" s="1174"/>
      <c r="B176" s="1174"/>
      <c r="C176" s="1386"/>
      <c r="D176" s="1391"/>
      <c r="E176" s="366"/>
      <c r="F176" s="366"/>
      <c r="G176" s="366"/>
      <c r="H176" s="1394"/>
      <c r="I176" s="366"/>
      <c r="J176" s="366"/>
      <c r="K176" s="1394"/>
      <c r="L176" s="366"/>
      <c r="M176" s="366"/>
      <c r="N176" s="1394"/>
      <c r="O176" s="366"/>
      <c r="P176" s="366"/>
    </row>
    <row r="177" spans="1:16">
      <c r="A177" s="1174"/>
      <c r="B177" s="1174" t="s">
        <v>2061</v>
      </c>
      <c r="C177" s="1387" t="s">
        <v>2807</v>
      </c>
      <c r="D177" s="1387"/>
      <c r="E177" s="1387"/>
      <c r="F177" s="1387"/>
      <c r="G177" s="1387"/>
      <c r="H177" s="1391"/>
      <c r="I177" s="346">
        <f>'Part I-Project Information'!I152</f>
        <v>0</v>
      </c>
      <c r="J177" s="353" t="s">
        <v>792</v>
      </c>
      <c r="K177" s="353"/>
      <c r="L177" s="346">
        <f>'Part I-Project Information'!L152</f>
        <v>0</v>
      </c>
      <c r="M177" s="1391" t="s">
        <v>2406</v>
      </c>
      <c r="N177" s="1391"/>
      <c r="O177" s="1391"/>
      <c r="P177" s="1446">
        <f>'Part I-Project Information'!P152</f>
        <v>0</v>
      </c>
    </row>
    <row r="178" spans="1:16">
      <c r="A178" s="1174"/>
      <c r="B178" s="1174"/>
      <c r="C178" s="1387"/>
      <c r="D178" s="1387"/>
      <c r="E178" s="340"/>
      <c r="F178" s="1387"/>
      <c r="G178" s="1387"/>
      <c r="H178" s="1391"/>
      <c r="I178" s="1391"/>
      <c r="J178" s="338"/>
      <c r="K178" s="346"/>
      <c r="L178" s="1391"/>
      <c r="M178" s="1391"/>
      <c r="N178" s="1391"/>
      <c r="O178" s="1394"/>
      <c r="P178" s="339"/>
    </row>
    <row r="179" spans="1:16">
      <c r="A179" s="1174"/>
      <c r="B179" s="1174"/>
      <c r="C179" s="1387" t="s">
        <v>2808</v>
      </c>
      <c r="D179" s="1387"/>
      <c r="E179" s="1387"/>
      <c r="F179" s="1387"/>
      <c r="G179" s="1387"/>
      <c r="H179" s="1391"/>
      <c r="I179" s="346" t="str">
        <f>'Part I-Project Information'!I154</f>
        <v>No</v>
      </c>
      <c r="J179" s="353" t="s">
        <v>792</v>
      </c>
      <c r="K179" s="353"/>
      <c r="L179" s="346">
        <f>'Part I-Project Information'!L154</f>
        <v>0</v>
      </c>
      <c r="M179" s="1391" t="s">
        <v>2406</v>
      </c>
      <c r="N179" s="1391"/>
      <c r="O179" s="1391"/>
      <c r="P179" s="1446">
        <f>'Part I-Project Information'!P154</f>
        <v>0</v>
      </c>
    </row>
    <row r="180" spans="1:16">
      <c r="A180" s="1174"/>
      <c r="B180" s="1174"/>
      <c r="C180" s="1387"/>
      <c r="D180" s="1387"/>
      <c r="E180" s="340"/>
      <c r="F180" s="1387"/>
      <c r="G180" s="1387"/>
      <c r="H180" s="1391"/>
      <c r="I180" s="1391"/>
      <c r="J180" s="338"/>
      <c r="K180" s="346"/>
      <c r="L180" s="1391"/>
      <c r="M180" s="1391"/>
      <c r="N180" s="1391"/>
      <c r="O180" s="1394"/>
      <c r="P180" s="339"/>
    </row>
    <row r="181" spans="1:16">
      <c r="A181" s="1174"/>
      <c r="B181" s="1174" t="s">
        <v>779</v>
      </c>
      <c r="C181" s="1387" t="s">
        <v>1823</v>
      </c>
      <c r="D181" s="1387"/>
      <c r="E181" s="1387"/>
      <c r="F181" s="1387"/>
      <c r="G181" s="1387"/>
      <c r="H181" s="1391"/>
      <c r="I181" s="346" t="str">
        <f>'Part I-Project Information'!I156</f>
        <v>No</v>
      </c>
      <c r="J181" s="1391"/>
      <c r="K181" s="1391"/>
      <c r="L181" s="338"/>
      <c r="M181" s="338"/>
      <c r="N181" s="1391"/>
      <c r="O181" s="1391"/>
      <c r="P181" s="339"/>
    </row>
    <row r="182" spans="1:16">
      <c r="A182" s="1174"/>
      <c r="B182" s="1174"/>
      <c r="C182" s="1386"/>
      <c r="D182" s="1391"/>
      <c r="E182" s="366"/>
      <c r="F182" s="366"/>
      <c r="G182" s="366"/>
      <c r="H182" s="1391"/>
      <c r="I182" s="366"/>
      <c r="J182" s="366"/>
      <c r="K182" s="1394"/>
      <c r="L182" s="366"/>
      <c r="M182" s="366"/>
      <c r="N182" s="1394"/>
      <c r="O182" s="366"/>
      <c r="P182" s="366"/>
    </row>
    <row r="183" spans="1:16">
      <c r="A183" s="1174"/>
      <c r="B183" s="1174" t="s">
        <v>2193</v>
      </c>
      <c r="C183" s="354" t="s">
        <v>2053</v>
      </c>
      <c r="D183" s="354"/>
      <c r="E183" s="354"/>
      <c r="F183" s="354"/>
      <c r="G183" s="1387"/>
      <c r="H183" s="1391"/>
      <c r="I183" s="346" t="str">
        <f>'Part I-Project Information'!I158</f>
        <v>Yes</v>
      </c>
      <c r="J183" s="369" t="s">
        <v>2869</v>
      </c>
      <c r="K183" s="1391"/>
      <c r="L183" s="353" t="s">
        <v>1532</v>
      </c>
      <c r="M183" s="353"/>
      <c r="N183" s="1387"/>
      <c r="O183" s="1387"/>
      <c r="P183" s="1448">
        <f>'Part I-Project Information'!P158</f>
        <v>208</v>
      </c>
    </row>
    <row r="184" spans="1:16">
      <c r="A184" s="1391"/>
      <c r="B184" s="1174"/>
      <c r="C184" s="1391"/>
      <c r="D184" s="1391"/>
      <c r="E184" s="1391"/>
      <c r="F184" s="1391"/>
      <c r="G184" s="1391"/>
      <c r="H184" s="1391"/>
      <c r="I184" s="1391"/>
      <c r="J184" s="1391"/>
      <c r="K184" s="1391"/>
      <c r="L184" s="1391" t="s">
        <v>829</v>
      </c>
      <c r="M184" s="1391"/>
      <c r="N184" s="1387"/>
      <c r="O184" s="1387"/>
      <c r="P184" s="1448">
        <f>'Part I-Project Information'!P159</f>
        <v>105</v>
      </c>
    </row>
    <row r="185" spans="1:16">
      <c r="A185" s="1174"/>
      <c r="B185" s="1174"/>
      <c r="C185" s="1391"/>
      <c r="D185" s="1391"/>
      <c r="E185" s="1391"/>
      <c r="F185" s="1391"/>
      <c r="G185" s="1391"/>
      <c r="H185" s="1391"/>
      <c r="I185" s="1391"/>
      <c r="J185" s="1391"/>
      <c r="K185" s="1391"/>
      <c r="L185" s="1391" t="s">
        <v>1857</v>
      </c>
      <c r="M185" s="1391"/>
      <c r="N185" s="1387"/>
      <c r="O185" s="1387"/>
      <c r="P185" s="1449">
        <f>IF(P183="","",P184/P183)</f>
        <v>0.50480769230769229</v>
      </c>
    </row>
    <row r="186" spans="1:16">
      <c r="A186" s="1174"/>
      <c r="B186" s="1174" t="s">
        <v>1801</v>
      </c>
      <c r="C186" s="296" t="s">
        <v>1667</v>
      </c>
      <c r="D186" s="1388"/>
      <c r="E186" s="1388"/>
      <c r="F186" s="1388"/>
      <c r="G186" s="1388"/>
      <c r="H186" s="1394"/>
      <c r="I186" s="1391"/>
      <c r="J186" s="338"/>
      <c r="K186" s="346"/>
      <c r="L186" s="1391"/>
      <c r="M186" s="1391"/>
      <c r="N186" s="1391"/>
      <c r="O186" s="1394"/>
      <c r="P186" s="339"/>
    </row>
    <row r="187" spans="1:16">
      <c r="A187" s="1174"/>
      <c r="B187" s="1174"/>
      <c r="C187" s="1391" t="s">
        <v>2291</v>
      </c>
      <c r="D187" s="340"/>
      <c r="E187" s="1391"/>
      <c r="F187" s="1391"/>
      <c r="G187" s="1391"/>
      <c r="H187" s="1391"/>
      <c r="I187" s="346" t="str">
        <f>'Part I-Project Information'!I162</f>
        <v>No</v>
      </c>
      <c r="J187" s="1391"/>
      <c r="K187" s="1391"/>
      <c r="L187" s="1391" t="s">
        <v>1668</v>
      </c>
      <c r="M187" s="1391"/>
      <c r="N187" s="1391"/>
      <c r="O187" s="1391"/>
      <c r="P187" s="346" t="str">
        <f>'Part I-Project Information'!P162</f>
        <v>No</v>
      </c>
    </row>
    <row r="188" spans="1:16">
      <c r="A188" s="1174"/>
      <c r="B188" s="1174"/>
      <c r="C188" s="1391" t="s">
        <v>2292</v>
      </c>
      <c r="D188" s="1391"/>
      <c r="E188" s="1391"/>
      <c r="F188" s="1391"/>
      <c r="G188" s="1391"/>
      <c r="H188" s="1391"/>
      <c r="I188" s="346" t="str">
        <f>'Part I-Project Information'!I163</f>
        <v>Yes</v>
      </c>
      <c r="J188" s="1391"/>
      <c r="K188" s="1391"/>
      <c r="L188" s="1391" t="s">
        <v>2985</v>
      </c>
      <c r="M188" s="1391"/>
      <c r="N188" s="1391"/>
      <c r="O188" s="1391"/>
      <c r="P188" s="346" t="str">
        <f>'Part I-Project Information'!P163</f>
        <v>No</v>
      </c>
    </row>
    <row r="189" spans="1:16" ht="13.5">
      <c r="A189" s="1174"/>
      <c r="B189" s="1391"/>
      <c r="C189" s="1391" t="s">
        <v>2829</v>
      </c>
      <c r="D189" s="1391"/>
      <c r="E189" s="1391"/>
      <c r="F189" s="1391"/>
      <c r="G189" s="1391"/>
      <c r="H189" s="1391"/>
      <c r="I189" s="346" t="str">
        <f>'Part I-Project Information'!I164</f>
        <v>No</v>
      </c>
      <c r="J189" s="1391"/>
      <c r="K189" s="1391"/>
      <c r="L189" s="1391" t="s">
        <v>2791</v>
      </c>
      <c r="M189" s="1391"/>
      <c r="N189" s="1450">
        <f>'Part I-Project Information'!N164</f>
        <v>0</v>
      </c>
      <c r="O189" s="1450"/>
      <c r="P189" s="346">
        <f>'Part I-Project Information'!P164</f>
        <v>0</v>
      </c>
    </row>
    <row r="190" spans="1:16" ht="13.5">
      <c r="A190" s="1174"/>
      <c r="B190" s="1174"/>
      <c r="C190" s="1391" t="s">
        <v>1332</v>
      </c>
      <c r="D190" s="370"/>
      <c r="E190" s="1391"/>
      <c r="F190" s="1391"/>
      <c r="G190" s="1391"/>
      <c r="H190" s="1391"/>
      <c r="I190" s="346" t="str">
        <f>'Part I-Project Information'!I165</f>
        <v>No</v>
      </c>
      <c r="J190" s="1391"/>
      <c r="K190" s="340"/>
      <c r="L190" s="1391" t="s">
        <v>3754</v>
      </c>
      <c r="M190" s="1391"/>
      <c r="N190" s="1391"/>
      <c r="O190" s="1391"/>
      <c r="P190" s="346" t="str">
        <f>'Part I-Project Information'!P165</f>
        <v>No</v>
      </c>
    </row>
    <row r="191" spans="1:16">
      <c r="A191" s="1174"/>
      <c r="B191" s="340"/>
      <c r="C191" s="1391" t="s">
        <v>1875</v>
      </c>
      <c r="D191" s="1391"/>
      <c r="E191" s="1391"/>
      <c r="F191" s="1391"/>
      <c r="G191" s="1391"/>
      <c r="H191" s="1391"/>
      <c r="I191" s="346" t="str">
        <f>'Part I-Project Information'!I166</f>
        <v>No</v>
      </c>
      <c r="J191" s="369" t="s">
        <v>2870</v>
      </c>
      <c r="K191" s="1391"/>
      <c r="L191" s="1391"/>
      <c r="M191" s="1391"/>
      <c r="N191" s="1391"/>
      <c r="O191" s="1451">
        <f>'Part I-Project Information'!O166</f>
        <v>0</v>
      </c>
      <c r="P191" s="1451"/>
    </row>
    <row r="192" spans="1:16">
      <c r="A192" s="1174"/>
      <c r="B192" s="1174"/>
      <c r="C192" s="1391" t="s">
        <v>3047</v>
      </c>
      <c r="D192" s="1391"/>
      <c r="E192" s="1391"/>
      <c r="F192" s="1391"/>
      <c r="G192" s="1391"/>
      <c r="H192" s="1391"/>
      <c r="I192" s="346" t="str">
        <f>'Part I-Project Information'!I167</f>
        <v>No</v>
      </c>
      <c r="J192" s="369" t="s">
        <v>2870</v>
      </c>
      <c r="K192" s="1391"/>
      <c r="L192" s="1391"/>
      <c r="M192" s="1391"/>
      <c r="N192" s="1391"/>
      <c r="O192" s="1451">
        <f>'Part I-Project Information'!O167</f>
        <v>0</v>
      </c>
      <c r="P192" s="1451"/>
    </row>
    <row r="193" spans="1:19">
      <c r="A193" s="1174"/>
      <c r="B193" s="1174"/>
      <c r="C193" s="1391"/>
      <c r="D193" s="1391"/>
      <c r="E193" s="1391"/>
      <c r="F193" s="1391"/>
      <c r="G193" s="1391"/>
      <c r="H193" s="1391"/>
      <c r="I193" s="1391"/>
      <c r="J193" s="1391"/>
      <c r="K193" s="1391"/>
      <c r="L193" s="1391"/>
      <c r="M193" s="1391"/>
      <c r="N193" s="1391"/>
      <c r="O193" s="1391"/>
      <c r="P193" s="338"/>
    </row>
    <row r="194" spans="1:19">
      <c r="A194" s="1391"/>
      <c r="B194" s="1174" t="s">
        <v>1802</v>
      </c>
      <c r="C194" s="296" t="s">
        <v>769</v>
      </c>
      <c r="D194" s="1391"/>
      <c r="E194" s="1391"/>
      <c r="F194" s="1391"/>
      <c r="G194" s="1391"/>
      <c r="H194" s="1391"/>
      <c r="I194" s="1391"/>
      <c r="J194" s="1391"/>
      <c r="K194" s="1391"/>
      <c r="L194" s="1391"/>
      <c r="M194" s="1391"/>
      <c r="N194" s="1391"/>
      <c r="O194" s="1391"/>
      <c r="P194" s="1391"/>
    </row>
    <row r="195" spans="1:19">
      <c r="A195" s="1174"/>
      <c r="B195" s="1174"/>
      <c r="C195" s="1386" t="s">
        <v>663</v>
      </c>
      <c r="D195" s="1388"/>
      <c r="E195" s="1388"/>
      <c r="F195" s="1394"/>
      <c r="G195" s="1394"/>
      <c r="H195" s="1440">
        <f>'Part I-Project Information'!H170</f>
        <v>0</v>
      </c>
      <c r="I195" s="1440"/>
      <c r="J195" s="1391"/>
      <c r="K195" s="1391"/>
      <c r="L195" s="1391"/>
      <c r="M195" s="1391"/>
      <c r="N195" s="1391"/>
      <c r="O195" s="1391"/>
      <c r="P195" s="339"/>
    </row>
    <row r="196" spans="1:19">
      <c r="A196" s="1174"/>
      <c r="B196" s="1174"/>
      <c r="C196" s="1386" t="s">
        <v>288</v>
      </c>
      <c r="D196" s="1388"/>
      <c r="E196" s="1388"/>
      <c r="F196" s="1394"/>
      <c r="G196" s="1394"/>
      <c r="H196" s="1440">
        <f>'Part I-Project Information'!H171</f>
        <v>43739</v>
      </c>
      <c r="I196" s="1440"/>
      <c r="J196" s="1391"/>
      <c r="K196" s="1391"/>
      <c r="L196" s="1391"/>
      <c r="M196" s="1391"/>
      <c r="N196" s="1391"/>
      <c r="O196" s="1391"/>
      <c r="P196" s="339"/>
    </row>
    <row r="197" spans="1:19">
      <c r="A197" s="1174"/>
      <c r="B197" s="1174"/>
      <c r="C197" s="1386" t="s">
        <v>2375</v>
      </c>
      <c r="D197" s="1388"/>
      <c r="E197" s="1388"/>
      <c r="F197" s="1394"/>
      <c r="G197" s="1394"/>
      <c r="H197" s="1440">
        <f>'Part I-Project Information'!H172</f>
        <v>0</v>
      </c>
      <c r="I197" s="1440"/>
      <c r="J197" s="1391"/>
      <c r="K197" s="1391"/>
      <c r="L197" s="1391"/>
      <c r="M197" s="1391"/>
      <c r="N197" s="1391"/>
      <c r="O197" s="1391"/>
      <c r="P197" s="339"/>
    </row>
    <row r="198" spans="1:19">
      <c r="A198" s="1391"/>
      <c r="B198" s="340"/>
      <c r="C198" s="1391"/>
      <c r="D198" s="1391"/>
      <c r="E198" s="1391"/>
      <c r="F198" s="1391"/>
      <c r="G198" s="1391"/>
      <c r="H198" s="1391"/>
      <c r="I198" s="1391"/>
      <c r="J198" s="1391"/>
      <c r="K198" s="1391"/>
      <c r="L198" s="338"/>
      <c r="M198" s="338"/>
      <c r="N198" s="338"/>
      <c r="O198" s="338"/>
      <c r="P198" s="336"/>
    </row>
    <row r="199" spans="1:19">
      <c r="A199" s="351" t="s">
        <v>2901</v>
      </c>
      <c r="B199" s="354"/>
      <c r="C199" s="351" t="s">
        <v>593</v>
      </c>
      <c r="D199" s="338"/>
      <c r="E199" s="338"/>
      <c r="F199" s="338"/>
      <c r="G199" s="338"/>
      <c r="H199" s="338"/>
      <c r="I199" s="338"/>
      <c r="J199" s="338"/>
      <c r="K199" s="351" t="s">
        <v>2331</v>
      </c>
      <c r="L199" s="351" t="s">
        <v>81</v>
      </c>
      <c r="M199" s="338"/>
      <c r="N199" s="338"/>
      <c r="O199" s="338"/>
      <c r="P199" s="338"/>
    </row>
    <row r="200" spans="1:19" ht="283.5">
      <c r="A200" s="1452" t="str">
        <f>'Part I-Project Information'!A175</f>
        <v>The project team has not submitted a preapplication. The required "experience" documentation has been included in Tab 20 and 21. Additionally, the building currently has 105 occupied units. All relocation documentation has been included in Tab 25.</v>
      </c>
      <c r="B200" s="1452"/>
      <c r="C200" s="1452"/>
      <c r="D200" s="1452"/>
      <c r="E200" s="1452"/>
      <c r="F200" s="1452"/>
      <c r="G200" s="1452"/>
      <c r="H200" s="1452"/>
      <c r="I200" s="1452"/>
      <c r="J200" s="1452"/>
      <c r="K200" s="1452">
        <f>'Part I-Project Information'!K175</f>
        <v>0</v>
      </c>
      <c r="L200" s="1452"/>
      <c r="M200" s="1452"/>
      <c r="N200" s="1452"/>
      <c r="O200" s="1452"/>
      <c r="P200" s="1452"/>
    </row>
    <row r="205" spans="1:19">
      <c r="A205" s="340" t="str">
        <f>CONCATENATE("DRAFT PART TWO - DEVELOPMENT TEAM INFORMATION","  -  ",'Part I-Project Information'!$O$4," ",'Part I-Project Information'!$F$24,", ",'Part I-Project Information'!F232,", ",'Part I-Project Information'!J233," County")</f>
        <v>DRAFT PART TWO - DEVELOPMENT TEAM INFORMATION  -  2016-524 Wheat Street Tower, ,  County</v>
      </c>
      <c r="B205" s="340"/>
      <c r="C205" s="340"/>
      <c r="D205" s="340"/>
      <c r="E205" s="340"/>
      <c r="F205" s="340"/>
      <c r="G205" s="340"/>
      <c r="H205" s="340"/>
      <c r="I205" s="340"/>
      <c r="J205" s="340"/>
      <c r="K205" s="340"/>
      <c r="L205" s="340"/>
      <c r="M205" s="340"/>
      <c r="N205" s="340"/>
      <c r="O205" s="340"/>
      <c r="P205" s="340"/>
      <c r="Q205" s="340"/>
      <c r="R205" s="340"/>
      <c r="S205" s="340"/>
    </row>
    <row r="206" spans="1:19">
      <c r="A206" s="338"/>
      <c r="B206" s="338"/>
      <c r="C206" s="338"/>
      <c r="D206" s="338"/>
      <c r="E206" s="338"/>
      <c r="F206" s="338"/>
      <c r="G206" s="338"/>
      <c r="H206" s="338"/>
      <c r="I206" s="338"/>
      <c r="J206" s="338"/>
      <c r="K206" s="338"/>
      <c r="L206" s="338"/>
      <c r="M206" s="338"/>
      <c r="N206" s="338"/>
      <c r="O206" s="338"/>
      <c r="P206" s="338"/>
      <c r="Q206" s="338"/>
      <c r="R206" s="338"/>
      <c r="S206" s="338"/>
    </row>
    <row r="207" spans="1:19">
      <c r="A207" s="340" t="s">
        <v>640</v>
      </c>
      <c r="B207" s="296" t="s">
        <v>1928</v>
      </c>
      <c r="C207" s="296"/>
      <c r="D207" s="1391"/>
      <c r="E207" s="296"/>
      <c r="F207" s="296"/>
      <c r="G207" s="296"/>
      <c r="H207" s="296" t="s">
        <v>3684</v>
      </c>
      <c r="I207" s="296"/>
      <c r="J207" s="296"/>
      <c r="K207" s="296"/>
      <c r="L207" s="296"/>
      <c r="M207" s="296"/>
      <c r="N207" s="1391"/>
      <c r="O207" s="1391"/>
      <c r="P207" s="1391"/>
      <c r="Q207" s="1391"/>
      <c r="R207" s="1391"/>
      <c r="S207" s="1391"/>
    </row>
    <row r="208" spans="1:19">
      <c r="A208" s="340"/>
      <c r="B208" s="340"/>
      <c r="C208" s="340"/>
      <c r="D208" s="296"/>
      <c r="E208" s="296"/>
      <c r="F208" s="296"/>
      <c r="G208" s="296"/>
      <c r="H208" s="296"/>
      <c r="I208" s="296"/>
      <c r="J208" s="296"/>
      <c r="K208" s="1391"/>
      <c r="L208" s="1391"/>
      <c r="M208" s="1391"/>
      <c r="N208" s="1391"/>
      <c r="O208" s="1391"/>
      <c r="P208" s="1391"/>
      <c r="Q208" s="1391"/>
      <c r="R208" s="1391"/>
      <c r="S208" s="1391"/>
    </row>
    <row r="209" spans="1:19">
      <c r="A209" s="1391"/>
      <c r="B209" s="340" t="s">
        <v>2058</v>
      </c>
      <c r="C209" s="296" t="s">
        <v>1924</v>
      </c>
      <c r="D209" s="1391"/>
      <c r="E209" s="1391"/>
      <c r="F209" s="1391"/>
      <c r="G209" s="1391"/>
      <c r="H209" s="1391" t="str">
        <f>'Part II-Development Team'!H5</f>
        <v xml:space="preserve">Wheat Street Senior, LP </v>
      </c>
      <c r="I209" s="353"/>
      <c r="J209" s="353"/>
      <c r="K209" s="353"/>
      <c r="L209" s="353"/>
      <c r="M209" s="353"/>
      <c r="N209" s="353"/>
      <c r="O209" s="1386" t="s">
        <v>2065</v>
      </c>
      <c r="P209" s="1386"/>
      <c r="Q209" s="1391" t="str">
        <f>'Part II-Development Team'!Q5</f>
        <v>Eddy Benoit, Jr.</v>
      </c>
      <c r="R209" s="353"/>
      <c r="S209" s="353"/>
    </row>
    <row r="210" spans="1:19">
      <c r="A210" s="1391"/>
      <c r="B210" s="1391"/>
      <c r="C210" s="1391"/>
      <c r="D210" s="376"/>
      <c r="E210" s="1386" t="s">
        <v>1058</v>
      </c>
      <c r="F210" s="336"/>
      <c r="G210" s="1391"/>
      <c r="H210" s="1391" t="str">
        <f>'Part II-Development Team'!H6</f>
        <v>6780 Roswell Road, Suite 200</v>
      </c>
      <c r="I210" s="353"/>
      <c r="J210" s="353"/>
      <c r="K210" s="353"/>
      <c r="L210" s="353"/>
      <c r="M210" s="353"/>
      <c r="N210" s="353"/>
      <c r="O210" s="1386" t="s">
        <v>1813</v>
      </c>
      <c r="P210" s="1391"/>
      <c r="Q210" s="1391" t="str">
        <f>'Part II-Development Team'!Q6</f>
        <v>Manager</v>
      </c>
      <c r="R210" s="353"/>
      <c r="S210" s="353"/>
    </row>
    <row r="211" spans="1:19">
      <c r="A211" s="1391"/>
      <c r="B211" s="1391"/>
      <c r="C211" s="1391"/>
      <c r="D211" s="376"/>
      <c r="E211" s="1386" t="s">
        <v>642</v>
      </c>
      <c r="F211" s="1391"/>
      <c r="G211" s="1391"/>
      <c r="H211" s="1391" t="str">
        <f>'Part II-Development Team'!H7</f>
        <v>Atlanta</v>
      </c>
      <c r="I211" s="353"/>
      <c r="J211" s="353"/>
      <c r="K211" s="1394" t="s">
        <v>793</v>
      </c>
      <c r="L211" s="1391">
        <f>'Part II-Development Team'!L7</f>
        <v>0</v>
      </c>
      <c r="M211" s="353"/>
      <c r="N211" s="353"/>
      <c r="O211" s="1386" t="s">
        <v>1869</v>
      </c>
      <c r="P211" s="1391"/>
      <c r="Q211" s="1416">
        <f>'Part II-Development Team'!Q7</f>
        <v>6785145901</v>
      </c>
      <c r="R211" s="1416"/>
      <c r="S211" s="1416"/>
    </row>
    <row r="212" spans="1:19">
      <c r="A212" s="1391"/>
      <c r="B212" s="1391"/>
      <c r="C212" s="1391"/>
      <c r="D212" s="376"/>
      <c r="E212" s="1386" t="s">
        <v>1865</v>
      </c>
      <c r="F212" s="1391"/>
      <c r="G212" s="1391"/>
      <c r="H212" s="1394" t="str">
        <f>'Part II-Development Team'!H8</f>
        <v>GA</v>
      </c>
      <c r="I212" s="1394" t="s">
        <v>2308</v>
      </c>
      <c r="J212" s="1417">
        <f>'Part II-Development Team'!J8</f>
        <v>303282589</v>
      </c>
      <c r="K212" s="353"/>
      <c r="L212" s="1391" t="s">
        <v>4144</v>
      </c>
      <c r="M212" s="1391" t="str">
        <f>'Part II-Development Team'!M8</f>
        <v>For Profit</v>
      </c>
      <c r="N212" s="1391"/>
      <c r="O212" s="1386" t="s">
        <v>2054</v>
      </c>
      <c r="P212" s="1391"/>
      <c r="Q212" s="1416">
        <f>'Part II-Development Team'!Q8</f>
        <v>7703293234</v>
      </c>
      <c r="R212" s="1416"/>
      <c r="S212" s="1416"/>
    </row>
    <row r="213" spans="1:19">
      <c r="A213" s="1391"/>
      <c r="B213" s="1391"/>
      <c r="C213" s="1391"/>
      <c r="D213" s="376"/>
      <c r="E213" s="1386" t="s">
        <v>2060</v>
      </c>
      <c r="F213" s="1391"/>
      <c r="G213" s="1391"/>
      <c r="H213" s="1416">
        <f>'Part II-Development Team'!H9</f>
        <v>6785145900</v>
      </c>
      <c r="I213" s="1416"/>
      <c r="J213" s="346">
        <f>'Part II-Development Team'!J9</f>
        <v>0</v>
      </c>
      <c r="K213" s="1394" t="s">
        <v>2059</v>
      </c>
      <c r="L213" s="1418" t="str">
        <f>'Part II-Development Team'!L9</f>
        <v>ebenoit@thebenoitgroup.com</v>
      </c>
      <c r="M213" s="1418"/>
      <c r="N213" s="1418"/>
      <c r="O213" s="1418"/>
      <c r="P213" s="1418"/>
      <c r="Q213" s="1418"/>
      <c r="R213" s="1418"/>
      <c r="S213" s="1418"/>
    </row>
    <row r="214" spans="1:19" ht="13.5">
      <c r="A214" s="1391"/>
      <c r="B214" s="1391"/>
      <c r="C214" s="1391"/>
      <c r="D214" s="376"/>
      <c r="E214" s="298" t="s">
        <v>2848</v>
      </c>
      <c r="F214" s="1391"/>
      <c r="G214" s="1391"/>
      <c r="H214" s="366"/>
      <c r="I214" s="1391"/>
      <c r="J214" s="1391"/>
      <c r="K214" s="1415"/>
      <c r="L214" s="1391"/>
      <c r="M214" s="1391"/>
      <c r="N214" s="340" t="s">
        <v>4166</v>
      </c>
      <c r="O214" s="1391"/>
      <c r="P214" s="1391"/>
      <c r="Q214" s="1394"/>
      <c r="R214" s="1391"/>
      <c r="S214" s="1391"/>
    </row>
    <row r="215" spans="1:19">
      <c r="A215" s="1391"/>
      <c r="B215" s="1391"/>
      <c r="C215" s="1391"/>
      <c r="D215" s="1453"/>
      <c r="E215" s="1386"/>
      <c r="F215" s="296"/>
      <c r="G215" s="296"/>
      <c r="H215" s="296"/>
      <c r="I215" s="296"/>
      <c r="J215" s="296"/>
      <c r="K215" s="1391"/>
      <c r="L215" s="1391"/>
      <c r="M215" s="1391"/>
      <c r="N215" s="296"/>
      <c r="O215" s="296"/>
      <c r="P215" s="296"/>
      <c r="Q215" s="296"/>
      <c r="R215" s="296"/>
      <c r="S215" s="296"/>
    </row>
    <row r="216" spans="1:19" ht="13.5">
      <c r="A216" s="1391"/>
      <c r="B216" s="354" t="s">
        <v>2061</v>
      </c>
      <c r="C216" s="296" t="s">
        <v>1925</v>
      </c>
      <c r="D216" s="1391"/>
      <c r="E216" s="1391"/>
      <c r="F216" s="296"/>
      <c r="G216" s="296"/>
      <c r="H216" s="296"/>
      <c r="I216" s="296"/>
      <c r="J216" s="296"/>
      <c r="K216" s="1391"/>
      <c r="L216" s="1391"/>
      <c r="M216" s="1391"/>
      <c r="N216" s="1454" t="s">
        <v>1331</v>
      </c>
      <c r="O216" s="1391"/>
      <c r="P216" s="1391"/>
      <c r="Q216" s="1391"/>
      <c r="R216" s="1391"/>
      <c r="S216" s="1391"/>
    </row>
    <row r="217" spans="1:19" ht="13.5">
      <c r="A217" s="1391"/>
      <c r="B217" s="1391"/>
      <c r="C217" s="1455" t="s">
        <v>2062</v>
      </c>
      <c r="D217" s="354" t="s">
        <v>2063</v>
      </c>
      <c r="E217" s="1391"/>
      <c r="F217" s="1391"/>
      <c r="G217" s="1391"/>
      <c r="H217" s="1391"/>
      <c r="I217" s="1391"/>
      <c r="J217" s="1391"/>
      <c r="K217" s="1391"/>
      <c r="L217" s="1391"/>
      <c r="M217" s="1391"/>
      <c r="N217" s="1415"/>
      <c r="O217" s="1391"/>
      <c r="P217" s="1391"/>
      <c r="Q217" s="1391"/>
      <c r="R217" s="1391"/>
      <c r="S217" s="1391"/>
    </row>
    <row r="218" spans="1:19">
      <c r="A218" s="1391"/>
      <c r="B218" s="1391"/>
      <c r="C218" s="1391"/>
      <c r="D218" s="340" t="s">
        <v>2194</v>
      </c>
      <c r="E218" s="1391" t="s">
        <v>1926</v>
      </c>
      <c r="F218" s="1391"/>
      <c r="G218" s="1391"/>
      <c r="H218" s="1391" t="str">
        <f>'Part II-Development Team'!H14</f>
        <v>TBG Properties, LLC</v>
      </c>
      <c r="I218" s="353"/>
      <c r="J218" s="353"/>
      <c r="K218" s="353"/>
      <c r="L218" s="353"/>
      <c r="M218" s="353"/>
      <c r="N218" s="353"/>
      <c r="O218" s="1386" t="s">
        <v>2065</v>
      </c>
      <c r="P218" s="1386"/>
      <c r="Q218" s="1391" t="str">
        <f>'Part II-Development Team'!Q14</f>
        <v>Eddy Benoit, Jr.</v>
      </c>
      <c r="R218" s="353"/>
      <c r="S218" s="353"/>
    </row>
    <row r="219" spans="1:19">
      <c r="A219" s="1391"/>
      <c r="B219" s="1391"/>
      <c r="C219" s="1391"/>
      <c r="D219" s="376"/>
      <c r="E219" s="1386" t="s">
        <v>1058</v>
      </c>
      <c r="F219" s="336"/>
      <c r="G219" s="1391"/>
      <c r="H219" s="1391" t="str">
        <f>'Part II-Development Team'!H15</f>
        <v>6780 Roswell Road, Suite 200</v>
      </c>
      <c r="I219" s="353"/>
      <c r="J219" s="353"/>
      <c r="K219" s="353"/>
      <c r="L219" s="353"/>
      <c r="M219" s="353"/>
      <c r="N219" s="353"/>
      <c r="O219" s="1386" t="s">
        <v>1813</v>
      </c>
      <c r="P219" s="1391"/>
      <c r="Q219" s="1391" t="str">
        <f>'Part II-Development Team'!Q15</f>
        <v>Manager</v>
      </c>
      <c r="R219" s="353"/>
      <c r="S219" s="353"/>
    </row>
    <row r="220" spans="1:19">
      <c r="A220" s="1391"/>
      <c r="B220" s="1391"/>
      <c r="C220" s="1391"/>
      <c r="D220" s="376"/>
      <c r="E220" s="1386" t="s">
        <v>642</v>
      </c>
      <c r="F220" s="1391"/>
      <c r="G220" s="1391"/>
      <c r="H220" s="1391" t="str">
        <f>'Part II-Development Team'!H16</f>
        <v>Atlanta</v>
      </c>
      <c r="I220" s="353"/>
      <c r="J220" s="353"/>
      <c r="K220" s="1394" t="s">
        <v>2809</v>
      </c>
      <c r="L220" s="1391" t="str">
        <f>'Part II-Development Team'!L16</f>
        <v>www.thebenoitgroup.com</v>
      </c>
      <c r="M220" s="353"/>
      <c r="N220" s="353"/>
      <c r="O220" s="1386" t="s">
        <v>1869</v>
      </c>
      <c r="P220" s="1391"/>
      <c r="Q220" s="1416">
        <f>'Part II-Development Team'!Q16</f>
        <v>6785145901</v>
      </c>
      <c r="R220" s="1416"/>
      <c r="S220" s="1416"/>
    </row>
    <row r="221" spans="1:19">
      <c r="A221" s="1391"/>
      <c r="B221" s="1391"/>
      <c r="C221" s="1391"/>
      <c r="D221" s="340"/>
      <c r="E221" s="1386" t="s">
        <v>1865</v>
      </c>
      <c r="F221" s="1391"/>
      <c r="G221" s="1391"/>
      <c r="H221" s="1394" t="str">
        <f>'Part II-Development Team'!H17</f>
        <v>GA</v>
      </c>
      <c r="I221" s="1391"/>
      <c r="J221" s="1391"/>
      <c r="K221" s="1394" t="s">
        <v>2308</v>
      </c>
      <c r="L221" s="1417">
        <f>'Part II-Development Team'!L17</f>
        <v>303282589</v>
      </c>
      <c r="M221" s="353"/>
      <c r="N221" s="1391"/>
      <c r="O221" s="1386" t="s">
        <v>2054</v>
      </c>
      <c r="P221" s="1391"/>
      <c r="Q221" s="1416">
        <f>'Part II-Development Team'!Q17</f>
        <v>7703293234</v>
      </c>
      <c r="R221" s="1416"/>
      <c r="S221" s="1416"/>
    </row>
    <row r="222" spans="1:19">
      <c r="A222" s="1391"/>
      <c r="B222" s="1391"/>
      <c r="C222" s="1391"/>
      <c r="D222" s="376"/>
      <c r="E222" s="1386" t="s">
        <v>2060</v>
      </c>
      <c r="F222" s="1391"/>
      <c r="G222" s="1391"/>
      <c r="H222" s="1416">
        <f>'Part II-Development Team'!H18</f>
        <v>6785145900</v>
      </c>
      <c r="I222" s="1416"/>
      <c r="J222" s="346">
        <f>'Part II-Development Team'!J18</f>
        <v>0</v>
      </c>
      <c r="K222" s="1394" t="s">
        <v>2059</v>
      </c>
      <c r="L222" s="1418" t="str">
        <f>'Part II-Development Team'!L18</f>
        <v>ebenoit@thebenoitgroup.com</v>
      </c>
      <c r="M222" s="1418"/>
      <c r="N222" s="1418"/>
      <c r="O222" s="1418"/>
      <c r="P222" s="1418"/>
      <c r="Q222" s="1418"/>
      <c r="R222" s="1418"/>
      <c r="S222" s="1418"/>
    </row>
    <row r="223" spans="1:19">
      <c r="A223" s="338"/>
      <c r="B223" s="338"/>
      <c r="C223" s="338"/>
      <c r="D223" s="351"/>
      <c r="E223" s="338"/>
      <c r="F223" s="338"/>
      <c r="G223" s="338"/>
      <c r="H223" s="1416"/>
      <c r="I223" s="1416"/>
      <c r="J223" s="1416"/>
      <c r="K223" s="1394"/>
      <c r="L223" s="1416"/>
      <c r="M223" s="1416"/>
      <c r="N223" s="1394"/>
      <c r="O223" s="1416"/>
      <c r="P223" s="1416"/>
      <c r="Q223" s="1394"/>
      <c r="R223" s="1416"/>
      <c r="S223" s="1416"/>
    </row>
    <row r="224" spans="1:19">
      <c r="A224" s="1391"/>
      <c r="B224" s="1391"/>
      <c r="C224" s="1391"/>
      <c r="D224" s="340" t="s">
        <v>2195</v>
      </c>
      <c r="E224" s="1391" t="s">
        <v>1927</v>
      </c>
      <c r="F224" s="1391"/>
      <c r="G224" s="1391"/>
      <c r="H224" s="1391" t="str">
        <f>'Part II-Development Team'!H20</f>
        <v>Wheat Street Towers, LLC</v>
      </c>
      <c r="I224" s="353"/>
      <c r="J224" s="353"/>
      <c r="K224" s="353"/>
      <c r="L224" s="353"/>
      <c r="M224" s="353"/>
      <c r="N224" s="353"/>
      <c r="O224" s="1386" t="s">
        <v>2065</v>
      </c>
      <c r="P224" s="1386"/>
      <c r="Q224" s="1391" t="str">
        <f>'Part II-Development Team'!Q20</f>
        <v>Eric Border</v>
      </c>
      <c r="R224" s="353"/>
      <c r="S224" s="353"/>
    </row>
    <row r="225" spans="1:19">
      <c r="A225" s="1391"/>
      <c r="B225" s="1391"/>
      <c r="C225" s="1391"/>
      <c r="D225" s="376"/>
      <c r="E225" s="1386" t="s">
        <v>1058</v>
      </c>
      <c r="F225" s="336"/>
      <c r="G225" s="1391"/>
      <c r="H225" s="1391" t="str">
        <f>'Part II-Development Team'!H21</f>
        <v>375 Auburn Avenue, NE</v>
      </c>
      <c r="I225" s="353"/>
      <c r="J225" s="353"/>
      <c r="K225" s="353"/>
      <c r="L225" s="353"/>
      <c r="M225" s="353"/>
      <c r="N225" s="353"/>
      <c r="O225" s="1386" t="s">
        <v>1813</v>
      </c>
      <c r="P225" s="1391"/>
      <c r="Q225" s="1391" t="str">
        <f>'Part II-Development Team'!Q21</f>
        <v>Manager</v>
      </c>
      <c r="R225" s="353"/>
      <c r="S225" s="353"/>
    </row>
    <row r="226" spans="1:19">
      <c r="A226" s="1391"/>
      <c r="B226" s="1391"/>
      <c r="C226" s="1391"/>
      <c r="D226" s="376"/>
      <c r="E226" s="1386" t="s">
        <v>642</v>
      </c>
      <c r="F226" s="1391"/>
      <c r="G226" s="1391"/>
      <c r="H226" s="1391" t="str">
        <f>'Part II-Development Team'!H22</f>
        <v xml:space="preserve">Atlanta </v>
      </c>
      <c r="I226" s="353"/>
      <c r="J226" s="353"/>
      <c r="K226" s="1394" t="s">
        <v>2809</v>
      </c>
      <c r="L226" s="1391">
        <f>'Part II-Development Team'!L22</f>
        <v>0</v>
      </c>
      <c r="M226" s="353"/>
      <c r="N226" s="353"/>
      <c r="O226" s="1386" t="s">
        <v>1869</v>
      </c>
      <c r="P226" s="1391"/>
      <c r="Q226" s="1416">
        <f>'Part II-Development Team'!Q22</f>
        <v>4049647508</v>
      </c>
      <c r="R226" s="1416"/>
      <c r="S226" s="1416"/>
    </row>
    <row r="227" spans="1:19">
      <c r="A227" s="1391"/>
      <c r="B227" s="1391"/>
      <c r="C227" s="1391"/>
      <c r="D227" s="1391"/>
      <c r="E227" s="1386" t="s">
        <v>1865</v>
      </c>
      <c r="F227" s="1391"/>
      <c r="G227" s="1391"/>
      <c r="H227" s="1394" t="str">
        <f>'Part II-Development Team'!H23</f>
        <v>GA</v>
      </c>
      <c r="I227" s="1391"/>
      <c r="J227" s="1391"/>
      <c r="K227" s="1394" t="s">
        <v>2308</v>
      </c>
      <c r="L227" s="1417">
        <f>'Part II-Development Team'!L23</f>
        <v>303121517</v>
      </c>
      <c r="M227" s="353"/>
      <c r="N227" s="1391"/>
      <c r="O227" s="1386" t="s">
        <v>2054</v>
      </c>
      <c r="P227" s="1391"/>
      <c r="Q227" s="1416">
        <f>'Part II-Development Team'!Q23</f>
        <v>4049647508</v>
      </c>
      <c r="R227" s="1416"/>
      <c r="S227" s="1416"/>
    </row>
    <row r="228" spans="1:19">
      <c r="A228" s="1391"/>
      <c r="B228" s="1391"/>
      <c r="C228" s="1391"/>
      <c r="D228" s="376"/>
      <c r="E228" s="1386" t="s">
        <v>2060</v>
      </c>
      <c r="F228" s="1391"/>
      <c r="G228" s="1391"/>
      <c r="H228" s="1416">
        <f>'Part II-Development Team'!H24</f>
        <v>4045255673</v>
      </c>
      <c r="I228" s="1416"/>
      <c r="J228" s="346">
        <f>'Part II-Development Team'!J24</f>
        <v>0</v>
      </c>
      <c r="K228" s="1394" t="s">
        <v>2059</v>
      </c>
      <c r="L228" s="1418" t="str">
        <f>'Part II-Development Team'!L24</f>
        <v>ericwborders@att.net</v>
      </c>
      <c r="M228" s="1418"/>
      <c r="N228" s="1418"/>
      <c r="O228" s="1418"/>
      <c r="P228" s="1418"/>
      <c r="Q228" s="1418"/>
      <c r="R228" s="1418"/>
      <c r="S228" s="1418"/>
    </row>
    <row r="229" spans="1:19">
      <c r="A229" s="1391"/>
      <c r="B229" s="1391"/>
      <c r="C229" s="1391"/>
      <c r="D229" s="376"/>
      <c r="E229" s="1391"/>
      <c r="F229" s="1391"/>
      <c r="G229" s="1386"/>
      <c r="H229" s="1416"/>
      <c r="I229" s="1416"/>
      <c r="J229" s="1416"/>
      <c r="K229" s="1394"/>
      <c r="L229" s="1416"/>
      <c r="M229" s="1416"/>
      <c r="N229" s="1394"/>
      <c r="O229" s="1416"/>
      <c r="P229" s="1416"/>
      <c r="Q229" s="1394"/>
      <c r="R229" s="1416"/>
      <c r="S229" s="1416"/>
    </row>
    <row r="230" spans="1:19">
      <c r="A230" s="1391"/>
      <c r="B230" s="1391"/>
      <c r="C230" s="1391"/>
      <c r="D230" s="340" t="s">
        <v>1800</v>
      </c>
      <c r="E230" s="1391" t="s">
        <v>1927</v>
      </c>
      <c r="F230" s="1391"/>
      <c r="G230" s="1391"/>
      <c r="H230" s="1391">
        <f>'Part II-Development Team'!H26</f>
        <v>0</v>
      </c>
      <c r="I230" s="353"/>
      <c r="J230" s="353"/>
      <c r="K230" s="353"/>
      <c r="L230" s="353"/>
      <c r="M230" s="353"/>
      <c r="N230" s="353"/>
      <c r="O230" s="1386" t="s">
        <v>2065</v>
      </c>
      <c r="P230" s="1386"/>
      <c r="Q230" s="1391">
        <f>'Part II-Development Team'!Q26</f>
        <v>0</v>
      </c>
      <c r="R230" s="353"/>
      <c r="S230" s="353"/>
    </row>
    <row r="231" spans="1:19">
      <c r="A231" s="1391"/>
      <c r="B231" s="1391"/>
      <c r="C231" s="1391"/>
      <c r="D231" s="376"/>
      <c r="E231" s="1386" t="s">
        <v>1058</v>
      </c>
      <c r="F231" s="336"/>
      <c r="G231" s="1391"/>
      <c r="H231" s="1391">
        <f>'Part II-Development Team'!H27</f>
        <v>0</v>
      </c>
      <c r="I231" s="353"/>
      <c r="J231" s="353"/>
      <c r="K231" s="353"/>
      <c r="L231" s="353"/>
      <c r="M231" s="353"/>
      <c r="N231" s="353"/>
      <c r="O231" s="1386" t="s">
        <v>1813</v>
      </c>
      <c r="P231" s="1391"/>
      <c r="Q231" s="1391">
        <f>'Part II-Development Team'!Q27</f>
        <v>0</v>
      </c>
      <c r="R231" s="353"/>
      <c r="S231" s="353"/>
    </row>
    <row r="232" spans="1:19">
      <c r="A232" s="1391"/>
      <c r="B232" s="1391"/>
      <c r="C232" s="1391"/>
      <c r="D232" s="376"/>
      <c r="E232" s="1386" t="s">
        <v>642</v>
      </c>
      <c r="F232" s="1391"/>
      <c r="G232" s="1391"/>
      <c r="H232" s="1391">
        <f>'Part II-Development Team'!H28</f>
        <v>0</v>
      </c>
      <c r="I232" s="353"/>
      <c r="J232" s="353"/>
      <c r="K232" s="1394" t="s">
        <v>2809</v>
      </c>
      <c r="L232" s="1391">
        <f>'Part II-Development Team'!L28</f>
        <v>0</v>
      </c>
      <c r="M232" s="353"/>
      <c r="N232" s="353"/>
      <c r="O232" s="1386" t="s">
        <v>1869</v>
      </c>
      <c r="P232" s="1391"/>
      <c r="Q232" s="1416">
        <f>'Part II-Development Team'!Q28</f>
        <v>0</v>
      </c>
      <c r="R232" s="1416"/>
      <c r="S232" s="1416"/>
    </row>
    <row r="233" spans="1:19">
      <c r="A233" s="1391"/>
      <c r="B233" s="1391"/>
      <c r="C233" s="1391"/>
      <c r="D233" s="1391"/>
      <c r="E233" s="1386" t="s">
        <v>1865</v>
      </c>
      <c r="F233" s="1391"/>
      <c r="G233" s="1391"/>
      <c r="H233" s="1394">
        <f>'Part II-Development Team'!H29</f>
        <v>0</v>
      </c>
      <c r="I233" s="1391"/>
      <c r="J233" s="1391"/>
      <c r="K233" s="1394" t="s">
        <v>2308</v>
      </c>
      <c r="L233" s="1417">
        <f>'Part II-Development Team'!L29</f>
        <v>0</v>
      </c>
      <c r="M233" s="353"/>
      <c r="N233" s="1391"/>
      <c r="O233" s="1386" t="s">
        <v>2054</v>
      </c>
      <c r="P233" s="1391"/>
      <c r="Q233" s="1416">
        <f>'Part II-Development Team'!Q29</f>
        <v>0</v>
      </c>
      <c r="R233" s="1416"/>
      <c r="S233" s="1416"/>
    </row>
    <row r="234" spans="1:19">
      <c r="A234" s="1391"/>
      <c r="B234" s="1391"/>
      <c r="C234" s="1391"/>
      <c r="D234" s="376"/>
      <c r="E234" s="1386" t="s">
        <v>2060</v>
      </c>
      <c r="F234" s="1391"/>
      <c r="G234" s="1391"/>
      <c r="H234" s="1416">
        <f>'Part II-Development Team'!H30</f>
        <v>0</v>
      </c>
      <c r="I234" s="1416"/>
      <c r="J234" s="346">
        <f>'Part II-Development Team'!J30</f>
        <v>0</v>
      </c>
      <c r="K234" s="1394" t="s">
        <v>2059</v>
      </c>
      <c r="L234" s="1418">
        <f>'Part II-Development Team'!L30</f>
        <v>0</v>
      </c>
      <c r="M234" s="1418"/>
      <c r="N234" s="1418"/>
      <c r="O234" s="1418"/>
      <c r="P234" s="1418"/>
      <c r="Q234" s="1418"/>
      <c r="R234" s="1418"/>
      <c r="S234" s="1418"/>
    </row>
    <row r="235" spans="1:19">
      <c r="A235" s="338"/>
      <c r="B235" s="338"/>
      <c r="C235" s="338"/>
      <c r="D235" s="338"/>
      <c r="E235" s="338"/>
      <c r="F235" s="338"/>
      <c r="G235" s="338"/>
      <c r="H235" s="338"/>
      <c r="I235" s="338"/>
      <c r="J235" s="338"/>
      <c r="K235" s="338"/>
      <c r="L235" s="338"/>
      <c r="M235" s="338"/>
      <c r="N235" s="338"/>
      <c r="O235" s="338"/>
      <c r="P235" s="338"/>
      <c r="Q235" s="338"/>
      <c r="R235" s="338"/>
      <c r="S235" s="338"/>
    </row>
    <row r="236" spans="1:19">
      <c r="A236" s="1391"/>
      <c r="B236" s="1391"/>
      <c r="C236" s="1455" t="s">
        <v>2064</v>
      </c>
      <c r="D236" s="354" t="s">
        <v>1929</v>
      </c>
      <c r="E236" s="1391"/>
      <c r="F236" s="1391"/>
      <c r="G236" s="1391"/>
      <c r="H236" s="1391"/>
      <c r="I236" s="1391"/>
      <c r="J236" s="1391"/>
      <c r="K236" s="1391"/>
      <c r="L236" s="1391"/>
      <c r="M236" s="1391"/>
      <c r="N236" s="1391"/>
      <c r="O236" s="1391"/>
      <c r="P236" s="1391"/>
      <c r="Q236" s="1391"/>
      <c r="R236" s="1391"/>
      <c r="S236" s="1391"/>
    </row>
    <row r="237" spans="1:19">
      <c r="A237" s="1391"/>
      <c r="B237" s="1391"/>
      <c r="C237" s="1391"/>
      <c r="D237" s="340" t="s">
        <v>2194</v>
      </c>
      <c r="E237" s="1391" t="s">
        <v>780</v>
      </c>
      <c r="F237" s="1391"/>
      <c r="G237" s="1391"/>
      <c r="H237" s="1391" t="str">
        <f>'Part II-Development Team'!H33</f>
        <v>NDC</v>
      </c>
      <c r="I237" s="353"/>
      <c r="J237" s="353"/>
      <c r="K237" s="353"/>
      <c r="L237" s="353"/>
      <c r="M237" s="353"/>
      <c r="N237" s="353"/>
      <c r="O237" s="1386" t="s">
        <v>2065</v>
      </c>
      <c r="P237" s="1386"/>
      <c r="Q237" s="1391" t="str">
        <f>'Part II-Development Team'!Q33</f>
        <v>President</v>
      </c>
      <c r="R237" s="353"/>
      <c r="S237" s="353"/>
    </row>
    <row r="238" spans="1:19">
      <c r="A238" s="1391"/>
      <c r="B238" s="1391"/>
      <c r="C238" s="1391"/>
      <c r="D238" s="376"/>
      <c r="E238" s="1386" t="s">
        <v>1058</v>
      </c>
      <c r="F238" s="336"/>
      <c r="G238" s="1391"/>
      <c r="H238" s="1391" t="str">
        <f>'Part II-Development Team'!H34</f>
        <v>One Battery Park Plaza, 24 Whitehall Street, Suite 710</v>
      </c>
      <c r="I238" s="353"/>
      <c r="J238" s="353"/>
      <c r="K238" s="353"/>
      <c r="L238" s="353"/>
      <c r="M238" s="353"/>
      <c r="N238" s="353"/>
      <c r="O238" s="1386" t="s">
        <v>1813</v>
      </c>
      <c r="P238" s="1391"/>
      <c r="Q238" s="1391" t="str">
        <f>'Part II-Development Team'!Q34</f>
        <v>President</v>
      </c>
      <c r="R238" s="353"/>
      <c r="S238" s="353"/>
    </row>
    <row r="239" spans="1:19">
      <c r="A239" s="1391"/>
      <c r="B239" s="1391"/>
      <c r="C239" s="1391"/>
      <c r="D239" s="376"/>
      <c r="E239" s="1386" t="s">
        <v>642</v>
      </c>
      <c r="F239" s="1391"/>
      <c r="G239" s="1391"/>
      <c r="H239" s="1391" t="str">
        <f>'Part II-Development Team'!H35</f>
        <v>New York</v>
      </c>
      <c r="I239" s="353"/>
      <c r="J239" s="353"/>
      <c r="K239" s="1394" t="s">
        <v>2809</v>
      </c>
      <c r="L239" s="1391" t="str">
        <f>'Part II-Development Team'!L35</f>
        <v>www.ndconline.com</v>
      </c>
      <c r="M239" s="353"/>
      <c r="N239" s="353"/>
      <c r="O239" s="1386" t="s">
        <v>1869</v>
      </c>
      <c r="P239" s="1391"/>
      <c r="Q239" s="1416">
        <f>'Part II-Development Team'!Q35</f>
        <v>2126821106</v>
      </c>
      <c r="R239" s="1416"/>
      <c r="S239" s="1416"/>
    </row>
    <row r="240" spans="1:19">
      <c r="A240" s="1391"/>
      <c r="B240" s="1391"/>
      <c r="C240" s="1391"/>
      <c r="D240" s="1391"/>
      <c r="E240" s="1386" t="s">
        <v>1865</v>
      </c>
      <c r="F240" s="1391"/>
      <c r="G240" s="1391"/>
      <c r="H240" s="1394" t="str">
        <f>'Part II-Development Team'!H36</f>
        <v>NY</v>
      </c>
      <c r="I240" s="1391"/>
      <c r="J240" s="1391"/>
      <c r="K240" s="1394" t="s">
        <v>2308</v>
      </c>
      <c r="L240" s="1417">
        <f>'Part II-Development Team'!L36</f>
        <v>100041436</v>
      </c>
      <c r="M240" s="353"/>
      <c r="N240" s="1391"/>
      <c r="O240" s="1386" t="s">
        <v>2054</v>
      </c>
      <c r="P240" s="1391"/>
      <c r="Q240" s="1416">
        <f>'Part II-Development Team'!Q36</f>
        <v>2126821106</v>
      </c>
      <c r="R240" s="1416"/>
      <c r="S240" s="1416"/>
    </row>
    <row r="241" spans="1:19">
      <c r="A241" s="1391"/>
      <c r="B241" s="1391"/>
      <c r="C241" s="1391"/>
      <c r="D241" s="376"/>
      <c r="E241" s="1386" t="s">
        <v>2060</v>
      </c>
      <c r="F241" s="1391"/>
      <c r="G241" s="1391"/>
      <c r="H241" s="1416">
        <f>'Part II-Development Team'!H37</f>
        <v>2126821106</v>
      </c>
      <c r="I241" s="1416"/>
      <c r="J241" s="346">
        <f>'Part II-Development Team'!J37</f>
        <v>0</v>
      </c>
      <c r="K241" s="1394" t="s">
        <v>2059</v>
      </c>
      <c r="L241" s="1418" t="str">
        <f>'Part II-Development Team'!L37</f>
        <v>dmarsh@ndconline.com</v>
      </c>
      <c r="M241" s="1418"/>
      <c r="N241" s="1418"/>
      <c r="O241" s="1418"/>
      <c r="P241" s="1418"/>
      <c r="Q241" s="1418"/>
      <c r="R241" s="1418"/>
      <c r="S241" s="1418"/>
    </row>
    <row r="242" spans="1:19">
      <c r="A242" s="338"/>
      <c r="B242" s="338"/>
      <c r="C242" s="338"/>
      <c r="D242" s="338"/>
      <c r="E242" s="338"/>
      <c r="F242" s="338"/>
      <c r="G242" s="338"/>
      <c r="H242" s="1416"/>
      <c r="I242" s="1416"/>
      <c r="J242" s="1416"/>
      <c r="K242" s="1394"/>
      <c r="L242" s="1416"/>
      <c r="M242" s="1416"/>
      <c r="N242" s="1394"/>
      <c r="O242" s="1416"/>
      <c r="P242" s="1416"/>
      <c r="Q242" s="1394"/>
      <c r="R242" s="1416"/>
      <c r="S242" s="1416"/>
    </row>
    <row r="243" spans="1:19">
      <c r="A243" s="1391"/>
      <c r="B243" s="1391"/>
      <c r="C243" s="1391"/>
      <c r="D243" s="340" t="s">
        <v>2195</v>
      </c>
      <c r="E243" s="1391" t="s">
        <v>781</v>
      </c>
      <c r="F243" s="340"/>
      <c r="G243" s="1391"/>
      <c r="H243" s="1391" t="str">
        <f>'Part II-Development Team'!H39</f>
        <v>Sugar Creek</v>
      </c>
      <c r="I243" s="353"/>
      <c r="J243" s="353"/>
      <c r="K243" s="353"/>
      <c r="L243" s="353"/>
      <c r="M243" s="353"/>
      <c r="N243" s="353"/>
      <c r="O243" s="1386" t="s">
        <v>2065</v>
      </c>
      <c r="P243" s="1386"/>
      <c r="Q243" s="1391" t="str">
        <f>'Part II-Development Team'!Q39</f>
        <v>Chris Hite</v>
      </c>
      <c r="R243" s="353"/>
      <c r="S243" s="353"/>
    </row>
    <row r="244" spans="1:19">
      <c r="A244" s="1391"/>
      <c r="B244" s="1391"/>
      <c r="C244" s="1391"/>
      <c r="D244" s="376"/>
      <c r="E244" s="1386" t="s">
        <v>1058</v>
      </c>
      <c r="F244" s="336"/>
      <c r="G244" s="1391"/>
      <c r="H244" s="1391" t="str">
        <f>'Part II-Development Team'!H40</f>
        <v>17 W. Lockwood Avenue</v>
      </c>
      <c r="I244" s="353"/>
      <c r="J244" s="353"/>
      <c r="K244" s="353"/>
      <c r="L244" s="353"/>
      <c r="M244" s="353"/>
      <c r="N244" s="353"/>
      <c r="O244" s="1386" t="s">
        <v>1813</v>
      </c>
      <c r="P244" s="1391"/>
      <c r="Q244" s="1391" t="str">
        <f>'Part II-Development Team'!Q40</f>
        <v>President</v>
      </c>
      <c r="R244" s="353"/>
      <c r="S244" s="353"/>
    </row>
    <row r="245" spans="1:19">
      <c r="A245" s="1391"/>
      <c r="B245" s="1391"/>
      <c r="C245" s="1391"/>
      <c r="D245" s="376"/>
      <c r="E245" s="1386" t="s">
        <v>642</v>
      </c>
      <c r="F245" s="1391"/>
      <c r="G245" s="1391"/>
      <c r="H245" s="1391" t="str">
        <f>'Part II-Development Team'!H41</f>
        <v>St. Louis</v>
      </c>
      <c r="I245" s="353"/>
      <c r="J245" s="353"/>
      <c r="K245" s="1394" t="s">
        <v>2809</v>
      </c>
      <c r="L245" s="1391" t="str">
        <f>'Part II-Development Team'!L41</f>
        <v>www.sugarcreekcapital.com</v>
      </c>
      <c r="M245" s="353"/>
      <c r="N245" s="353"/>
      <c r="O245" s="1386" t="s">
        <v>1869</v>
      </c>
      <c r="P245" s="1391"/>
      <c r="Q245" s="1416">
        <f>'Part II-Development Team'!Q41</f>
        <v>3144821700</v>
      </c>
      <c r="R245" s="1416"/>
      <c r="S245" s="1416"/>
    </row>
    <row r="246" spans="1:19">
      <c r="A246" s="1391"/>
      <c r="B246" s="1391"/>
      <c r="C246" s="1391"/>
      <c r="D246" s="340"/>
      <c r="E246" s="1386" t="s">
        <v>1865</v>
      </c>
      <c r="F246" s="1391"/>
      <c r="G246" s="1391"/>
      <c r="H246" s="1394" t="str">
        <f>'Part II-Development Team'!H42</f>
        <v>MO</v>
      </c>
      <c r="I246" s="1391"/>
      <c r="J246" s="1391"/>
      <c r="K246" s="1394" t="s">
        <v>2308</v>
      </c>
      <c r="L246" s="1417">
        <f>'Part II-Development Team'!L42</f>
        <v>631192931</v>
      </c>
      <c r="M246" s="353"/>
      <c r="N246" s="1391"/>
      <c r="O246" s="1386" t="s">
        <v>2054</v>
      </c>
      <c r="P246" s="1391"/>
      <c r="Q246" s="1416">
        <f>'Part II-Development Team'!Q42</f>
        <v>3145616804</v>
      </c>
      <c r="R246" s="1416"/>
      <c r="S246" s="1416"/>
    </row>
    <row r="247" spans="1:19">
      <c r="A247" s="1391"/>
      <c r="B247" s="1391"/>
      <c r="C247" s="1391"/>
      <c r="D247" s="376"/>
      <c r="E247" s="1386" t="s">
        <v>2060</v>
      </c>
      <c r="F247" s="1391"/>
      <c r="G247" s="1391"/>
      <c r="H247" s="1416">
        <f>'Part II-Development Team'!H43</f>
        <v>3149682205</v>
      </c>
      <c r="I247" s="1416"/>
      <c r="J247" s="346">
        <f>'Part II-Development Team'!J43</f>
        <v>0</v>
      </c>
      <c r="K247" s="1394" t="s">
        <v>2059</v>
      </c>
      <c r="L247" s="1418" t="str">
        <f>'Part II-Development Team'!L43</f>
        <v>chite@sugarcreekrealtyllc.com</v>
      </c>
      <c r="M247" s="1418"/>
      <c r="N247" s="1418"/>
      <c r="O247" s="1418"/>
      <c r="P247" s="1418"/>
      <c r="Q247" s="1418"/>
      <c r="R247" s="1418"/>
      <c r="S247" s="1418"/>
    </row>
    <row r="248" spans="1:19">
      <c r="A248" s="1391"/>
      <c r="B248" s="1391"/>
      <c r="C248" s="1391"/>
      <c r="D248" s="376"/>
      <c r="E248" s="1386"/>
      <c r="F248" s="340"/>
      <c r="G248" s="1391"/>
      <c r="H248" s="366"/>
      <c r="I248" s="366"/>
      <c r="J248" s="1446"/>
      <c r="K248" s="1394"/>
      <c r="L248" s="366"/>
      <c r="M248" s="366"/>
      <c r="N248" s="1394"/>
      <c r="O248" s="366"/>
      <c r="P248" s="366"/>
      <c r="Q248" s="1394"/>
      <c r="R248" s="366"/>
      <c r="S248" s="366"/>
    </row>
    <row r="249" spans="1:19">
      <c r="A249" s="1391"/>
      <c r="B249" s="1391"/>
      <c r="C249" s="1456" t="s">
        <v>2622</v>
      </c>
      <c r="D249" s="354" t="s">
        <v>676</v>
      </c>
      <c r="E249" s="1391"/>
      <c r="F249" s="1391"/>
      <c r="G249" s="1391"/>
      <c r="H249" s="1391"/>
      <c r="I249" s="1391"/>
      <c r="J249" s="1391"/>
      <c r="K249" s="1391"/>
      <c r="L249" s="1391"/>
      <c r="M249" s="1391"/>
      <c r="N249" s="1391"/>
      <c r="O249" s="1391"/>
      <c r="P249" s="1391"/>
      <c r="Q249" s="1391"/>
      <c r="R249" s="1391"/>
      <c r="S249" s="1391"/>
    </row>
    <row r="250" spans="1:19">
      <c r="A250" s="1391"/>
      <c r="B250" s="1391"/>
      <c r="C250" s="1391"/>
      <c r="D250" s="1391"/>
      <c r="E250" s="1391" t="s">
        <v>94</v>
      </c>
      <c r="F250" s="1391"/>
      <c r="G250" s="1391"/>
      <c r="H250" s="1391">
        <f>'Part II-Development Team'!H46</f>
        <v>0</v>
      </c>
      <c r="I250" s="353"/>
      <c r="J250" s="353"/>
      <c r="K250" s="353"/>
      <c r="L250" s="353"/>
      <c r="M250" s="353"/>
      <c r="N250" s="353"/>
      <c r="O250" s="1386" t="s">
        <v>2065</v>
      </c>
      <c r="P250" s="1386"/>
      <c r="Q250" s="1391">
        <f>'Part II-Development Team'!Q46</f>
        <v>0</v>
      </c>
      <c r="R250" s="353"/>
      <c r="S250" s="353"/>
    </row>
    <row r="251" spans="1:19">
      <c r="A251" s="1391"/>
      <c r="B251" s="1391"/>
      <c r="C251" s="1391"/>
      <c r="D251" s="376"/>
      <c r="E251" s="1386" t="s">
        <v>1058</v>
      </c>
      <c r="F251" s="336"/>
      <c r="G251" s="1391"/>
      <c r="H251" s="1391">
        <f>'Part II-Development Team'!H47</f>
        <v>0</v>
      </c>
      <c r="I251" s="353"/>
      <c r="J251" s="353"/>
      <c r="K251" s="353"/>
      <c r="L251" s="353"/>
      <c r="M251" s="353"/>
      <c r="N251" s="353"/>
      <c r="O251" s="1386" t="s">
        <v>1813</v>
      </c>
      <c r="P251" s="1391"/>
      <c r="Q251" s="1391">
        <f>'Part II-Development Team'!Q47</f>
        <v>0</v>
      </c>
      <c r="R251" s="353"/>
      <c r="S251" s="353"/>
    </row>
    <row r="252" spans="1:19">
      <c r="A252" s="1391"/>
      <c r="B252" s="1391"/>
      <c r="C252" s="1391"/>
      <c r="D252" s="376"/>
      <c r="E252" s="1386" t="s">
        <v>642</v>
      </c>
      <c r="F252" s="1391"/>
      <c r="G252" s="1391"/>
      <c r="H252" s="1391">
        <f>'Part II-Development Team'!H48</f>
        <v>0</v>
      </c>
      <c r="I252" s="353"/>
      <c r="J252" s="353"/>
      <c r="K252" s="1394" t="s">
        <v>2809</v>
      </c>
      <c r="L252" s="1391">
        <f>'Part II-Development Team'!L48</f>
        <v>0</v>
      </c>
      <c r="M252" s="353"/>
      <c r="N252" s="353"/>
      <c r="O252" s="1386" t="s">
        <v>1869</v>
      </c>
      <c r="P252" s="1391"/>
      <c r="Q252" s="1416">
        <f>'Part II-Development Team'!Q48</f>
        <v>0</v>
      </c>
      <c r="R252" s="1416"/>
      <c r="S252" s="1416"/>
    </row>
    <row r="253" spans="1:19">
      <c r="A253" s="1391"/>
      <c r="B253" s="1391"/>
      <c r="C253" s="1391"/>
      <c r="D253" s="1391"/>
      <c r="E253" s="1386" t="s">
        <v>1865</v>
      </c>
      <c r="F253" s="1391"/>
      <c r="G253" s="1391"/>
      <c r="H253" s="1394">
        <f>'Part II-Development Team'!H49</f>
        <v>0</v>
      </c>
      <c r="I253" s="1391"/>
      <c r="J253" s="1391"/>
      <c r="K253" s="1394" t="s">
        <v>2308</v>
      </c>
      <c r="L253" s="1417">
        <f>'Part II-Development Team'!L49</f>
        <v>0</v>
      </c>
      <c r="M253" s="353"/>
      <c r="N253" s="1391"/>
      <c r="O253" s="1386" t="s">
        <v>2054</v>
      </c>
      <c r="P253" s="1391"/>
      <c r="Q253" s="1416">
        <f>'Part II-Development Team'!Q49</f>
        <v>0</v>
      </c>
      <c r="R253" s="1416"/>
      <c r="S253" s="1416"/>
    </row>
    <row r="254" spans="1:19">
      <c r="A254" s="1391"/>
      <c r="B254" s="1391"/>
      <c r="C254" s="1391"/>
      <c r="D254" s="376"/>
      <c r="E254" s="1386" t="s">
        <v>2060</v>
      </c>
      <c r="F254" s="1391"/>
      <c r="G254" s="1391"/>
      <c r="H254" s="1416">
        <f>'Part II-Development Team'!H50</f>
        <v>0</v>
      </c>
      <c r="I254" s="1416"/>
      <c r="J254" s="346">
        <f>'Part II-Development Team'!J50</f>
        <v>0</v>
      </c>
      <c r="K254" s="1394" t="s">
        <v>2059</v>
      </c>
      <c r="L254" s="1418">
        <f>'Part II-Development Team'!L50</f>
        <v>0</v>
      </c>
      <c r="M254" s="1418"/>
      <c r="N254" s="1418"/>
      <c r="O254" s="1418"/>
      <c r="P254" s="1418"/>
      <c r="Q254" s="1418"/>
      <c r="R254" s="1418"/>
      <c r="S254" s="1418"/>
    </row>
    <row r="255" spans="1:19">
      <c r="A255" s="338"/>
      <c r="B255" s="338"/>
      <c r="C255" s="338"/>
      <c r="D255" s="338"/>
      <c r="E255" s="338"/>
      <c r="F255" s="338"/>
      <c r="G255" s="338"/>
      <c r="H255" s="338"/>
      <c r="I255" s="338"/>
      <c r="J255" s="338"/>
      <c r="K255" s="338"/>
      <c r="L255" s="338"/>
      <c r="M255" s="338"/>
      <c r="N255" s="338"/>
      <c r="O255" s="338"/>
      <c r="P255" s="338"/>
      <c r="Q255" s="338"/>
      <c r="R255" s="338"/>
      <c r="S255" s="338"/>
    </row>
    <row r="256" spans="1:19">
      <c r="A256" s="340" t="s">
        <v>770</v>
      </c>
      <c r="B256" s="340" t="s">
        <v>677</v>
      </c>
      <c r="C256" s="1391"/>
      <c r="D256" s="1391"/>
      <c r="E256" s="1391"/>
      <c r="F256" s="340"/>
      <c r="G256" s="1394"/>
      <c r="H256" s="1394"/>
      <c r="I256" s="1394"/>
      <c r="J256" s="1391"/>
      <c r="K256" s="1391"/>
      <c r="L256" s="1391"/>
      <c r="M256" s="1391"/>
      <c r="N256" s="1391"/>
      <c r="O256" s="1391"/>
      <c r="P256" s="1391"/>
      <c r="Q256" s="1391"/>
      <c r="R256" s="1391"/>
      <c r="S256" s="1391"/>
    </row>
    <row r="257" spans="1:19">
      <c r="A257" s="340"/>
      <c r="B257" s="340"/>
      <c r="C257" s="1391"/>
      <c r="D257" s="1391"/>
      <c r="E257" s="1391"/>
      <c r="F257" s="340"/>
      <c r="G257" s="1394"/>
      <c r="H257" s="1416"/>
      <c r="I257" s="1416"/>
      <c r="J257" s="1416"/>
      <c r="K257" s="1394"/>
      <c r="L257" s="1416"/>
      <c r="M257" s="1416"/>
      <c r="N257" s="1394"/>
      <c r="O257" s="1416"/>
      <c r="P257" s="1416"/>
      <c r="Q257" s="1394"/>
      <c r="R257" s="1416"/>
      <c r="S257" s="1416"/>
    </row>
    <row r="258" spans="1:19">
      <c r="A258" s="1391"/>
      <c r="B258" s="340" t="s">
        <v>2058</v>
      </c>
      <c r="C258" s="340" t="s">
        <v>295</v>
      </c>
      <c r="D258" s="1391"/>
      <c r="E258" s="1391"/>
      <c r="F258" s="1391"/>
      <c r="G258" s="1391"/>
      <c r="H258" s="1391" t="str">
        <f>'Part II-Development Team'!H54</f>
        <v>The Benoit Group Development, LLC</v>
      </c>
      <c r="I258" s="353"/>
      <c r="J258" s="353"/>
      <c r="K258" s="353"/>
      <c r="L258" s="353"/>
      <c r="M258" s="353"/>
      <c r="N258" s="353"/>
      <c r="O258" s="1386" t="s">
        <v>2065</v>
      </c>
      <c r="P258" s="1386"/>
      <c r="Q258" s="1391" t="str">
        <f>'Part II-Development Team'!Q54</f>
        <v>Eddy Benoit, Jr.</v>
      </c>
      <c r="R258" s="353"/>
      <c r="S258" s="353"/>
    </row>
    <row r="259" spans="1:19">
      <c r="A259" s="1391"/>
      <c r="B259" s="1391"/>
      <c r="C259" s="1391"/>
      <c r="D259" s="376"/>
      <c r="E259" s="1386" t="s">
        <v>1058</v>
      </c>
      <c r="F259" s="336"/>
      <c r="G259" s="1391"/>
      <c r="H259" s="1391" t="str">
        <f>'Part II-Development Team'!H55</f>
        <v>6780 Roswell Road, Suite 200</v>
      </c>
      <c r="I259" s="353"/>
      <c r="J259" s="353"/>
      <c r="K259" s="353"/>
      <c r="L259" s="353"/>
      <c r="M259" s="353"/>
      <c r="N259" s="353"/>
      <c r="O259" s="1386" t="s">
        <v>1813</v>
      </c>
      <c r="P259" s="1391"/>
      <c r="Q259" s="1391" t="str">
        <f>'Part II-Development Team'!Q55</f>
        <v>President &amp; CEO</v>
      </c>
      <c r="R259" s="353"/>
      <c r="S259" s="353"/>
    </row>
    <row r="260" spans="1:19">
      <c r="A260" s="1391"/>
      <c r="B260" s="1391"/>
      <c r="C260" s="1391"/>
      <c r="D260" s="376"/>
      <c r="E260" s="1386" t="s">
        <v>642</v>
      </c>
      <c r="F260" s="1391"/>
      <c r="G260" s="1391"/>
      <c r="H260" s="1391" t="str">
        <f>'Part II-Development Team'!H56</f>
        <v>Atlanta</v>
      </c>
      <c r="I260" s="353"/>
      <c r="J260" s="353"/>
      <c r="K260" s="1394" t="s">
        <v>2809</v>
      </c>
      <c r="L260" s="1391" t="str">
        <f>'Part II-Development Team'!L56</f>
        <v>www.thebenoitgroup.com</v>
      </c>
      <c r="M260" s="353"/>
      <c r="N260" s="353"/>
      <c r="O260" s="1386" t="s">
        <v>1869</v>
      </c>
      <c r="P260" s="1391"/>
      <c r="Q260" s="1416">
        <f>'Part II-Development Team'!Q56</f>
        <v>6785145901</v>
      </c>
      <c r="R260" s="1416"/>
      <c r="S260" s="1416"/>
    </row>
    <row r="261" spans="1:19">
      <c r="A261" s="1391"/>
      <c r="B261" s="1391"/>
      <c r="C261" s="1391"/>
      <c r="D261" s="1391"/>
      <c r="E261" s="1386" t="s">
        <v>1865</v>
      </c>
      <c r="F261" s="1391"/>
      <c r="G261" s="1391"/>
      <c r="H261" s="1394" t="str">
        <f>'Part II-Development Team'!H57</f>
        <v>GA</v>
      </c>
      <c r="I261" s="1391"/>
      <c r="J261" s="1391"/>
      <c r="K261" s="1394" t="s">
        <v>2308</v>
      </c>
      <c r="L261" s="1417">
        <f>'Part II-Development Team'!L57</f>
        <v>303282589</v>
      </c>
      <c r="M261" s="353"/>
      <c r="N261" s="1391"/>
      <c r="O261" s="1386" t="s">
        <v>2054</v>
      </c>
      <c r="P261" s="1391"/>
      <c r="Q261" s="1416">
        <f>'Part II-Development Team'!Q57</f>
        <v>7703293234</v>
      </c>
      <c r="R261" s="1416"/>
      <c r="S261" s="1416"/>
    </row>
    <row r="262" spans="1:19">
      <c r="A262" s="1391"/>
      <c r="B262" s="1391"/>
      <c r="C262" s="1391"/>
      <c r="D262" s="376"/>
      <c r="E262" s="1386" t="s">
        <v>2060</v>
      </c>
      <c r="F262" s="1391"/>
      <c r="G262" s="1391"/>
      <c r="H262" s="1416">
        <f>'Part II-Development Team'!H58</f>
        <v>6785145900</v>
      </c>
      <c r="I262" s="1416"/>
      <c r="J262" s="346">
        <f>'Part II-Development Team'!J58</f>
        <v>0</v>
      </c>
      <c r="K262" s="1394" t="s">
        <v>2059</v>
      </c>
      <c r="L262" s="1418" t="str">
        <f>'Part II-Development Team'!L58</f>
        <v>ebenoit@thebenoitgroup.com</v>
      </c>
      <c r="M262" s="1418"/>
      <c r="N262" s="1418"/>
      <c r="O262" s="1418"/>
      <c r="P262" s="1418"/>
      <c r="Q262" s="1418"/>
      <c r="R262" s="1418"/>
      <c r="S262" s="1418"/>
    </row>
    <row r="263" spans="1:19">
      <c r="A263" s="1391"/>
      <c r="B263" s="1391"/>
      <c r="C263" s="1391"/>
      <c r="D263" s="376"/>
      <c r="E263" s="1391"/>
      <c r="F263" s="1391"/>
      <c r="G263" s="1386"/>
      <c r="H263" s="1416"/>
      <c r="I263" s="1416"/>
      <c r="J263" s="1416"/>
      <c r="K263" s="1394"/>
      <c r="L263" s="1416"/>
      <c r="M263" s="1416"/>
      <c r="N263" s="1394"/>
      <c r="O263" s="1416"/>
      <c r="P263" s="1416"/>
      <c r="Q263" s="1394"/>
      <c r="R263" s="1416"/>
      <c r="S263" s="1416"/>
    </row>
    <row r="264" spans="1:19">
      <c r="A264" s="1391"/>
      <c r="B264" s="340" t="s">
        <v>2061</v>
      </c>
      <c r="C264" s="340" t="s">
        <v>296</v>
      </c>
      <c r="D264" s="1391"/>
      <c r="E264" s="1391"/>
      <c r="F264" s="1391"/>
      <c r="G264" s="1391"/>
      <c r="H264" s="1391" t="str">
        <f>'Part II-Development Team'!H60</f>
        <v>WSCF Development, LLC</v>
      </c>
      <c r="I264" s="353"/>
      <c r="J264" s="353"/>
      <c r="K264" s="353"/>
      <c r="L264" s="353"/>
      <c r="M264" s="353"/>
      <c r="N264" s="353"/>
      <c r="O264" s="1386" t="s">
        <v>2065</v>
      </c>
      <c r="P264" s="1386"/>
      <c r="Q264" s="1391" t="str">
        <f>'Part II-Development Team'!Q60</f>
        <v>Eric Borders</v>
      </c>
      <c r="R264" s="353"/>
      <c r="S264" s="353"/>
    </row>
    <row r="265" spans="1:19">
      <c r="A265" s="1391"/>
      <c r="B265" s="1391"/>
      <c r="C265" s="1391"/>
      <c r="D265" s="376"/>
      <c r="E265" s="1386" t="s">
        <v>1058</v>
      </c>
      <c r="F265" s="336"/>
      <c r="G265" s="1391"/>
      <c r="H265" s="1391" t="str">
        <f>'Part II-Development Team'!H61</f>
        <v>375 Auburn Avenue, NE</v>
      </c>
      <c r="I265" s="353"/>
      <c r="J265" s="353"/>
      <c r="K265" s="353"/>
      <c r="L265" s="353"/>
      <c r="M265" s="353"/>
      <c r="N265" s="353"/>
      <c r="O265" s="1386" t="s">
        <v>1813</v>
      </c>
      <c r="P265" s="1391"/>
      <c r="Q265" s="1391" t="str">
        <f>'Part II-Development Team'!Q61</f>
        <v>Manager</v>
      </c>
      <c r="R265" s="353"/>
      <c r="S265" s="353"/>
    </row>
    <row r="266" spans="1:19">
      <c r="A266" s="1391"/>
      <c r="B266" s="1391"/>
      <c r="C266" s="1391"/>
      <c r="D266" s="376"/>
      <c r="E266" s="1386" t="s">
        <v>642</v>
      </c>
      <c r="F266" s="1391"/>
      <c r="G266" s="1391"/>
      <c r="H266" s="1391" t="str">
        <f>'Part II-Development Team'!H62</f>
        <v>Atlanta</v>
      </c>
      <c r="I266" s="353"/>
      <c r="J266" s="353"/>
      <c r="K266" s="1394" t="s">
        <v>2809</v>
      </c>
      <c r="L266" s="1391">
        <f>'Part II-Development Team'!L62</f>
        <v>0</v>
      </c>
      <c r="M266" s="353"/>
      <c r="N266" s="353"/>
      <c r="O266" s="1386" t="s">
        <v>1869</v>
      </c>
      <c r="P266" s="1391"/>
      <c r="Q266" s="1416">
        <f>'Part II-Development Team'!Q62</f>
        <v>4049647508</v>
      </c>
      <c r="R266" s="1416"/>
      <c r="S266" s="1416"/>
    </row>
    <row r="267" spans="1:19">
      <c r="A267" s="1391"/>
      <c r="B267" s="1391"/>
      <c r="C267" s="1391"/>
      <c r="D267" s="1391"/>
      <c r="E267" s="1386" t="s">
        <v>1865</v>
      </c>
      <c r="F267" s="1391"/>
      <c r="G267" s="1391"/>
      <c r="H267" s="1394" t="str">
        <f>'Part II-Development Team'!H63</f>
        <v>GA</v>
      </c>
      <c r="I267" s="1391"/>
      <c r="J267" s="1391"/>
      <c r="K267" s="1394" t="s">
        <v>2308</v>
      </c>
      <c r="L267" s="1417">
        <f>'Part II-Development Team'!L63</f>
        <v>303121517</v>
      </c>
      <c r="M267" s="353"/>
      <c r="N267" s="1391"/>
      <c r="O267" s="1386" t="s">
        <v>2054</v>
      </c>
      <c r="P267" s="1391"/>
      <c r="Q267" s="1416">
        <f>'Part II-Development Team'!Q63</f>
        <v>4049647508</v>
      </c>
      <c r="R267" s="1416"/>
      <c r="S267" s="1416"/>
    </row>
    <row r="268" spans="1:19">
      <c r="A268" s="1391"/>
      <c r="B268" s="1391"/>
      <c r="C268" s="1391"/>
      <c r="D268" s="376"/>
      <c r="E268" s="1386" t="s">
        <v>2060</v>
      </c>
      <c r="F268" s="1391"/>
      <c r="G268" s="1391"/>
      <c r="H268" s="1416">
        <f>'Part II-Development Team'!H64</f>
        <v>4045255673</v>
      </c>
      <c r="I268" s="1416"/>
      <c r="J268" s="346">
        <f>'Part II-Development Team'!J64</f>
        <v>0</v>
      </c>
      <c r="K268" s="1394" t="s">
        <v>2059</v>
      </c>
      <c r="L268" s="1418" t="str">
        <f>'Part II-Development Team'!L64</f>
        <v>ericwborders@att.net</v>
      </c>
      <c r="M268" s="1418"/>
      <c r="N268" s="1418"/>
      <c r="O268" s="1418"/>
      <c r="P268" s="1418"/>
      <c r="Q268" s="1418"/>
      <c r="R268" s="1418"/>
      <c r="S268" s="1418"/>
    </row>
    <row r="269" spans="1:19">
      <c r="A269" s="1391"/>
      <c r="B269" s="1391"/>
      <c r="C269" s="1391"/>
      <c r="D269" s="376"/>
      <c r="E269" s="1391"/>
      <c r="F269" s="1391"/>
      <c r="G269" s="1386"/>
      <c r="H269" s="1416"/>
      <c r="I269" s="1416"/>
      <c r="J269" s="1416"/>
      <c r="K269" s="1394"/>
      <c r="L269" s="1416"/>
      <c r="M269" s="1416"/>
      <c r="N269" s="1394"/>
      <c r="O269" s="1416"/>
      <c r="P269" s="1416"/>
      <c r="Q269" s="1394"/>
      <c r="R269" s="1416"/>
      <c r="S269" s="1416"/>
    </row>
    <row r="270" spans="1:19">
      <c r="A270" s="1391"/>
      <c r="B270" s="340" t="s">
        <v>779</v>
      </c>
      <c r="C270" s="340" t="s">
        <v>1585</v>
      </c>
      <c r="D270" s="1391"/>
      <c r="E270" s="1391"/>
      <c r="F270" s="1391"/>
      <c r="G270" s="1391"/>
      <c r="H270" s="1391">
        <f>'Part II-Development Team'!H66</f>
        <v>0</v>
      </c>
      <c r="I270" s="353"/>
      <c r="J270" s="353"/>
      <c r="K270" s="353"/>
      <c r="L270" s="353"/>
      <c r="M270" s="353"/>
      <c r="N270" s="353"/>
      <c r="O270" s="1386" t="s">
        <v>2065</v>
      </c>
      <c r="P270" s="1386"/>
      <c r="Q270" s="1391">
        <f>'Part II-Development Team'!Q66</f>
        <v>0</v>
      </c>
      <c r="R270" s="353"/>
      <c r="S270" s="353"/>
    </row>
    <row r="271" spans="1:19">
      <c r="A271" s="1391"/>
      <c r="B271" s="1391"/>
      <c r="C271" s="1391"/>
      <c r="D271" s="376"/>
      <c r="E271" s="1386" t="s">
        <v>1058</v>
      </c>
      <c r="F271" s="336"/>
      <c r="G271" s="1391"/>
      <c r="H271" s="1391">
        <f>'Part II-Development Team'!H67</f>
        <v>0</v>
      </c>
      <c r="I271" s="353"/>
      <c r="J271" s="353"/>
      <c r="K271" s="353"/>
      <c r="L271" s="353"/>
      <c r="M271" s="353"/>
      <c r="N271" s="353"/>
      <c r="O271" s="1386" t="s">
        <v>1813</v>
      </c>
      <c r="P271" s="1391"/>
      <c r="Q271" s="1391">
        <f>'Part II-Development Team'!Q67</f>
        <v>0</v>
      </c>
      <c r="R271" s="353"/>
      <c r="S271" s="353"/>
    </row>
    <row r="272" spans="1:19">
      <c r="A272" s="1391"/>
      <c r="B272" s="1391"/>
      <c r="C272" s="1391"/>
      <c r="D272" s="376"/>
      <c r="E272" s="1386" t="s">
        <v>642</v>
      </c>
      <c r="F272" s="1391"/>
      <c r="G272" s="1391"/>
      <c r="H272" s="1391">
        <f>'Part II-Development Team'!H68</f>
        <v>0</v>
      </c>
      <c r="I272" s="353"/>
      <c r="J272" s="353"/>
      <c r="K272" s="1394" t="s">
        <v>2809</v>
      </c>
      <c r="L272" s="1391">
        <f>'Part II-Development Team'!L68</f>
        <v>0</v>
      </c>
      <c r="M272" s="353"/>
      <c r="N272" s="353"/>
      <c r="O272" s="1386" t="s">
        <v>1869</v>
      </c>
      <c r="P272" s="1391"/>
      <c r="Q272" s="1416">
        <f>'Part II-Development Team'!Q68</f>
        <v>0</v>
      </c>
      <c r="R272" s="1416"/>
      <c r="S272" s="1416"/>
    </row>
    <row r="273" spans="1:19">
      <c r="A273" s="1391"/>
      <c r="B273" s="1391"/>
      <c r="C273" s="1391"/>
      <c r="D273" s="1391"/>
      <c r="E273" s="1386" t="s">
        <v>1865</v>
      </c>
      <c r="F273" s="1391"/>
      <c r="G273" s="1391"/>
      <c r="H273" s="1394">
        <f>'Part II-Development Team'!H69</f>
        <v>0</v>
      </c>
      <c r="I273" s="1391"/>
      <c r="J273" s="1391"/>
      <c r="K273" s="1394" t="s">
        <v>2308</v>
      </c>
      <c r="L273" s="1417">
        <f>'Part II-Development Team'!L69</f>
        <v>0</v>
      </c>
      <c r="M273" s="353"/>
      <c r="N273" s="1391"/>
      <c r="O273" s="1386" t="s">
        <v>2054</v>
      </c>
      <c r="P273" s="1391"/>
      <c r="Q273" s="1416">
        <f>'Part II-Development Team'!Q69</f>
        <v>0</v>
      </c>
      <c r="R273" s="1416"/>
      <c r="S273" s="1416"/>
    </row>
    <row r="274" spans="1:19">
      <c r="A274" s="1391"/>
      <c r="B274" s="1391"/>
      <c r="C274" s="1391"/>
      <c r="D274" s="376"/>
      <c r="E274" s="1386" t="s">
        <v>2060</v>
      </c>
      <c r="F274" s="1391"/>
      <c r="G274" s="1391"/>
      <c r="H274" s="1416">
        <f>'Part II-Development Team'!H70</f>
        <v>0</v>
      </c>
      <c r="I274" s="1416"/>
      <c r="J274" s="346">
        <f>'Part II-Development Team'!J70</f>
        <v>0</v>
      </c>
      <c r="K274" s="1394" t="s">
        <v>2059</v>
      </c>
      <c r="L274" s="1418">
        <f>'Part II-Development Team'!L70</f>
        <v>0</v>
      </c>
      <c r="M274" s="1418"/>
      <c r="N274" s="1418"/>
      <c r="O274" s="1418"/>
      <c r="P274" s="1418"/>
      <c r="Q274" s="1418"/>
      <c r="R274" s="1418"/>
      <c r="S274" s="1418"/>
    </row>
    <row r="275" spans="1:19">
      <c r="A275" s="338"/>
      <c r="B275" s="338"/>
      <c r="C275" s="338"/>
      <c r="D275" s="338"/>
      <c r="E275" s="338"/>
      <c r="F275" s="338"/>
      <c r="G275" s="338"/>
      <c r="H275" s="1416"/>
      <c r="I275" s="1416"/>
      <c r="J275" s="1416"/>
      <c r="K275" s="1394"/>
      <c r="L275" s="1416"/>
      <c r="M275" s="1416"/>
      <c r="N275" s="1394"/>
      <c r="O275" s="1416"/>
      <c r="P275" s="1416"/>
      <c r="Q275" s="1394"/>
      <c r="R275" s="1416"/>
      <c r="S275" s="1416"/>
    </row>
    <row r="276" spans="1:19">
      <c r="A276" s="1391"/>
      <c r="B276" s="340" t="s">
        <v>2193</v>
      </c>
      <c r="C276" s="340" t="s">
        <v>297</v>
      </c>
      <c r="D276" s="1391"/>
      <c r="E276" s="1391"/>
      <c r="F276" s="1391"/>
      <c r="G276" s="1391"/>
      <c r="H276" s="1391">
        <f>'Part II-Development Team'!H72</f>
        <v>0</v>
      </c>
      <c r="I276" s="353"/>
      <c r="J276" s="353"/>
      <c r="K276" s="353"/>
      <c r="L276" s="353"/>
      <c r="M276" s="353"/>
      <c r="N276" s="353"/>
      <c r="O276" s="1386" t="s">
        <v>2065</v>
      </c>
      <c r="P276" s="1386"/>
      <c r="Q276" s="1391">
        <f>'Part II-Development Team'!Q72</f>
        <v>0</v>
      </c>
      <c r="R276" s="353"/>
      <c r="S276" s="353"/>
    </row>
    <row r="277" spans="1:19">
      <c r="A277" s="1391"/>
      <c r="B277" s="1391"/>
      <c r="C277" s="1391"/>
      <c r="D277" s="376"/>
      <c r="E277" s="1386" t="s">
        <v>1058</v>
      </c>
      <c r="F277" s="336"/>
      <c r="G277" s="1391"/>
      <c r="H277" s="1391">
        <f>'Part II-Development Team'!H73</f>
        <v>0</v>
      </c>
      <c r="I277" s="353"/>
      <c r="J277" s="353"/>
      <c r="K277" s="353"/>
      <c r="L277" s="353"/>
      <c r="M277" s="353"/>
      <c r="N277" s="353"/>
      <c r="O277" s="1386" t="s">
        <v>1813</v>
      </c>
      <c r="P277" s="1391"/>
      <c r="Q277" s="1391">
        <f>'Part II-Development Team'!Q73</f>
        <v>0</v>
      </c>
      <c r="R277" s="353"/>
      <c r="S277" s="353"/>
    </row>
    <row r="278" spans="1:19">
      <c r="A278" s="1391"/>
      <c r="B278" s="1391"/>
      <c r="C278" s="1391"/>
      <c r="D278" s="376"/>
      <c r="E278" s="1386" t="s">
        <v>642</v>
      </c>
      <c r="F278" s="1391"/>
      <c r="G278" s="1391"/>
      <c r="H278" s="1391">
        <f>'Part II-Development Team'!H74</f>
        <v>0</v>
      </c>
      <c r="I278" s="353"/>
      <c r="J278" s="353"/>
      <c r="K278" s="1394" t="s">
        <v>2809</v>
      </c>
      <c r="L278" s="1391">
        <f>'Part II-Development Team'!L74</f>
        <v>0</v>
      </c>
      <c r="M278" s="353"/>
      <c r="N278" s="353"/>
      <c r="O278" s="1386" t="s">
        <v>1869</v>
      </c>
      <c r="P278" s="1391"/>
      <c r="Q278" s="1416">
        <f>'Part II-Development Team'!Q74</f>
        <v>0</v>
      </c>
      <c r="R278" s="1416"/>
      <c r="S278" s="1416"/>
    </row>
    <row r="279" spans="1:19">
      <c r="A279" s="1391"/>
      <c r="B279" s="1391"/>
      <c r="C279" s="1391"/>
      <c r="D279" s="1391"/>
      <c r="E279" s="1386" t="s">
        <v>1865</v>
      </c>
      <c r="F279" s="1391"/>
      <c r="G279" s="1391"/>
      <c r="H279" s="1394">
        <f>'Part II-Development Team'!H75</f>
        <v>0</v>
      </c>
      <c r="I279" s="1391"/>
      <c r="J279" s="1391"/>
      <c r="K279" s="1394" t="s">
        <v>2308</v>
      </c>
      <c r="L279" s="1417">
        <f>'Part II-Development Team'!L75</f>
        <v>0</v>
      </c>
      <c r="M279" s="353"/>
      <c r="N279" s="1391"/>
      <c r="O279" s="1386" t="s">
        <v>2054</v>
      </c>
      <c r="P279" s="1391"/>
      <c r="Q279" s="1416">
        <f>'Part II-Development Team'!Q75</f>
        <v>0</v>
      </c>
      <c r="R279" s="1416"/>
      <c r="S279" s="1416"/>
    </row>
    <row r="280" spans="1:19">
      <c r="A280" s="1391"/>
      <c r="B280" s="1391"/>
      <c r="C280" s="1391"/>
      <c r="D280" s="376"/>
      <c r="E280" s="1386" t="s">
        <v>2060</v>
      </c>
      <c r="F280" s="1391"/>
      <c r="G280" s="1391"/>
      <c r="H280" s="1416">
        <f>'Part II-Development Team'!H76</f>
        <v>0</v>
      </c>
      <c r="I280" s="1416"/>
      <c r="J280" s="346">
        <f>'Part II-Development Team'!J76</f>
        <v>0</v>
      </c>
      <c r="K280" s="1394" t="s">
        <v>2059</v>
      </c>
      <c r="L280" s="1418">
        <f>'Part II-Development Team'!L76</f>
        <v>0</v>
      </c>
      <c r="M280" s="1418"/>
      <c r="N280" s="1418"/>
      <c r="O280" s="1418"/>
      <c r="P280" s="1418"/>
      <c r="Q280" s="1418"/>
      <c r="R280" s="1418"/>
      <c r="S280" s="1418"/>
    </row>
    <row r="281" spans="1:19">
      <c r="A281" s="338"/>
      <c r="B281" s="338"/>
      <c r="C281" s="338"/>
      <c r="D281" s="338"/>
      <c r="E281" s="338"/>
      <c r="F281" s="338"/>
      <c r="G281" s="338"/>
      <c r="H281" s="338"/>
      <c r="I281" s="338"/>
      <c r="J281" s="338"/>
      <c r="K281" s="338"/>
      <c r="L281" s="338"/>
      <c r="M281" s="338"/>
      <c r="N281" s="338"/>
      <c r="O281" s="338"/>
      <c r="P281" s="338"/>
      <c r="Q281" s="338"/>
      <c r="R281" s="338"/>
      <c r="S281" s="338"/>
    </row>
    <row r="282" spans="1:19">
      <c r="A282" s="296" t="s">
        <v>772</v>
      </c>
      <c r="B282" s="296" t="s">
        <v>298</v>
      </c>
      <c r="C282" s="1386"/>
      <c r="D282" s="296"/>
      <c r="E282" s="1386"/>
      <c r="F282" s="296"/>
      <c r="G282" s="296"/>
      <c r="H282" s="296"/>
      <c r="I282" s="296"/>
      <c r="J282" s="296"/>
      <c r="K282" s="296"/>
      <c r="L282" s="296"/>
      <c r="M282" s="296"/>
      <c r="N282" s="1386"/>
      <c r="O282" s="1386"/>
      <c r="P282" s="1386"/>
      <c r="Q282" s="1386"/>
      <c r="R282" s="1386"/>
      <c r="S282" s="1386"/>
    </row>
    <row r="283" spans="1:19">
      <c r="A283" s="296"/>
      <c r="B283" s="296"/>
      <c r="C283" s="1386"/>
      <c r="D283" s="296"/>
      <c r="E283" s="1386"/>
      <c r="F283" s="296"/>
      <c r="G283" s="296"/>
      <c r="H283" s="1416"/>
      <c r="I283" s="1416"/>
      <c r="J283" s="1416"/>
      <c r="K283" s="1394"/>
      <c r="L283" s="1416"/>
      <c r="M283" s="1416"/>
      <c r="N283" s="1394"/>
      <c r="O283" s="1416"/>
      <c r="P283" s="1416"/>
      <c r="Q283" s="1394"/>
      <c r="R283" s="1416"/>
      <c r="S283" s="1416"/>
    </row>
    <row r="284" spans="1:19">
      <c r="A284" s="1391"/>
      <c r="B284" s="340" t="s">
        <v>2058</v>
      </c>
      <c r="C284" s="340" t="s">
        <v>299</v>
      </c>
      <c r="D284" s="1391"/>
      <c r="E284" s="1391"/>
      <c r="F284" s="1391"/>
      <c r="G284" s="1391"/>
      <c r="H284" s="1391">
        <f>'Part II-Development Team'!H80</f>
        <v>0</v>
      </c>
      <c r="I284" s="353"/>
      <c r="J284" s="353"/>
      <c r="K284" s="353"/>
      <c r="L284" s="353"/>
      <c r="M284" s="353"/>
      <c r="N284" s="353"/>
      <c r="O284" s="1386" t="s">
        <v>2065</v>
      </c>
      <c r="P284" s="1386"/>
      <c r="Q284" s="1391">
        <f>'Part II-Development Team'!Q80</f>
        <v>0</v>
      </c>
      <c r="R284" s="353"/>
      <c r="S284" s="353"/>
    </row>
    <row r="285" spans="1:19">
      <c r="A285" s="1391"/>
      <c r="B285" s="1391"/>
      <c r="C285" s="1391"/>
      <c r="D285" s="376"/>
      <c r="E285" s="1386" t="s">
        <v>1058</v>
      </c>
      <c r="F285" s="336"/>
      <c r="G285" s="1391"/>
      <c r="H285" s="1391">
        <f>'Part II-Development Team'!H81</f>
        <v>0</v>
      </c>
      <c r="I285" s="353"/>
      <c r="J285" s="353"/>
      <c r="K285" s="353"/>
      <c r="L285" s="353"/>
      <c r="M285" s="353"/>
      <c r="N285" s="353"/>
      <c r="O285" s="1386" t="s">
        <v>1813</v>
      </c>
      <c r="P285" s="1391"/>
      <c r="Q285" s="1391">
        <f>'Part II-Development Team'!Q81</f>
        <v>0</v>
      </c>
      <c r="R285" s="353"/>
      <c r="S285" s="353"/>
    </row>
    <row r="286" spans="1:19">
      <c r="A286" s="1391"/>
      <c r="B286" s="1391"/>
      <c r="C286" s="1391"/>
      <c r="D286" s="376"/>
      <c r="E286" s="1386" t="s">
        <v>642</v>
      </c>
      <c r="F286" s="1391"/>
      <c r="G286" s="1391"/>
      <c r="H286" s="1391">
        <f>'Part II-Development Team'!H82</f>
        <v>0</v>
      </c>
      <c r="I286" s="353"/>
      <c r="J286" s="353"/>
      <c r="K286" s="1394" t="s">
        <v>2809</v>
      </c>
      <c r="L286" s="1391">
        <f>'Part II-Development Team'!L82</f>
        <v>0</v>
      </c>
      <c r="M286" s="353"/>
      <c r="N286" s="353"/>
      <c r="O286" s="1386" t="s">
        <v>1869</v>
      </c>
      <c r="P286" s="1391"/>
      <c r="Q286" s="1416">
        <f>'Part II-Development Team'!Q82</f>
        <v>0</v>
      </c>
      <c r="R286" s="1416"/>
      <c r="S286" s="1416"/>
    </row>
    <row r="287" spans="1:19">
      <c r="A287" s="1391"/>
      <c r="B287" s="1391"/>
      <c r="C287" s="1391"/>
      <c r="D287" s="1391"/>
      <c r="E287" s="1386" t="s">
        <v>1865</v>
      </c>
      <c r="F287" s="1391"/>
      <c r="G287" s="1391"/>
      <c r="H287" s="1394">
        <f>'Part II-Development Team'!H83</f>
        <v>0</v>
      </c>
      <c r="I287" s="1391"/>
      <c r="J287" s="1391"/>
      <c r="K287" s="1394" t="s">
        <v>2308</v>
      </c>
      <c r="L287" s="1417">
        <f>'Part II-Development Team'!L83</f>
        <v>0</v>
      </c>
      <c r="M287" s="353"/>
      <c r="N287" s="1391"/>
      <c r="O287" s="1386" t="s">
        <v>2054</v>
      </c>
      <c r="P287" s="1391"/>
      <c r="Q287" s="1416">
        <f>'Part II-Development Team'!Q83</f>
        <v>0</v>
      </c>
      <c r="R287" s="1416"/>
      <c r="S287" s="1416"/>
    </row>
    <row r="288" spans="1:19">
      <c r="A288" s="1391"/>
      <c r="B288" s="1391"/>
      <c r="C288" s="1391"/>
      <c r="D288" s="376"/>
      <c r="E288" s="1386" t="s">
        <v>2060</v>
      </c>
      <c r="F288" s="1391"/>
      <c r="G288" s="1391"/>
      <c r="H288" s="1416">
        <f>'Part II-Development Team'!H84</f>
        <v>0</v>
      </c>
      <c r="I288" s="1416"/>
      <c r="J288" s="346">
        <f>'Part II-Development Team'!J84</f>
        <v>0</v>
      </c>
      <c r="K288" s="1394" t="s">
        <v>2059</v>
      </c>
      <c r="L288" s="1418">
        <f>'Part II-Development Team'!L84</f>
        <v>0</v>
      </c>
      <c r="M288" s="1418"/>
      <c r="N288" s="1418"/>
      <c r="O288" s="1418"/>
      <c r="P288" s="1418"/>
      <c r="Q288" s="1418"/>
      <c r="R288" s="1418"/>
      <c r="S288" s="1418"/>
    </row>
    <row r="289" spans="1:19">
      <c r="A289" s="338"/>
      <c r="B289" s="338"/>
      <c r="C289" s="338"/>
      <c r="D289" s="338"/>
      <c r="E289" s="338"/>
      <c r="F289" s="338"/>
      <c r="G289" s="338"/>
      <c r="H289" s="1416"/>
      <c r="I289" s="1416"/>
      <c r="J289" s="1416"/>
      <c r="K289" s="1394"/>
      <c r="L289" s="1416"/>
      <c r="M289" s="1416"/>
      <c r="N289" s="1394"/>
      <c r="O289" s="1416"/>
      <c r="P289" s="1416"/>
      <c r="Q289" s="1394"/>
      <c r="R289" s="1416"/>
      <c r="S289" s="1416"/>
    </row>
    <row r="290" spans="1:19">
      <c r="A290" s="1391"/>
      <c r="B290" s="340" t="s">
        <v>2061</v>
      </c>
      <c r="C290" s="340" t="s">
        <v>300</v>
      </c>
      <c r="D290" s="1391"/>
      <c r="E290" s="1391"/>
      <c r="F290" s="1391"/>
      <c r="G290" s="1391"/>
      <c r="H290" s="1391" t="str">
        <f>'Part II-Development Team'!H86</f>
        <v>J. M. Wilkerson Construction Co, Inc.</v>
      </c>
      <c r="I290" s="353"/>
      <c r="J290" s="353"/>
      <c r="K290" s="353"/>
      <c r="L290" s="353"/>
      <c r="M290" s="353"/>
      <c r="N290" s="353"/>
      <c r="O290" s="1386" t="s">
        <v>2065</v>
      </c>
      <c r="P290" s="1386"/>
      <c r="Q290" s="1391" t="str">
        <f>'Part II-Development Team'!Q86</f>
        <v>Brett Hawley</v>
      </c>
      <c r="R290" s="353"/>
      <c r="S290" s="353"/>
    </row>
    <row r="291" spans="1:19">
      <c r="A291" s="1391"/>
      <c r="B291" s="1391"/>
      <c r="C291" s="1391"/>
      <c r="D291" s="376"/>
      <c r="E291" s="1386" t="s">
        <v>1058</v>
      </c>
      <c r="F291" s="336"/>
      <c r="G291" s="1391"/>
      <c r="H291" s="1391" t="str">
        <f>'Part II-Development Team'!H87</f>
        <v>1734 Sands Place</v>
      </c>
      <c r="I291" s="353"/>
      <c r="J291" s="353"/>
      <c r="K291" s="353"/>
      <c r="L291" s="353"/>
      <c r="M291" s="353"/>
      <c r="N291" s="353"/>
      <c r="O291" s="1386" t="s">
        <v>1813</v>
      </c>
      <c r="P291" s="1391"/>
      <c r="Q291" s="1391" t="str">
        <f>'Part II-Development Team'!Q87</f>
        <v>President &amp; CEO</v>
      </c>
      <c r="R291" s="353"/>
      <c r="S291" s="353"/>
    </row>
    <row r="292" spans="1:19">
      <c r="A292" s="1391"/>
      <c r="B292" s="1391"/>
      <c r="C292" s="1391"/>
      <c r="D292" s="376"/>
      <c r="E292" s="1386" t="s">
        <v>642</v>
      </c>
      <c r="F292" s="1391"/>
      <c r="G292" s="1391"/>
      <c r="H292" s="1391" t="str">
        <f>'Part II-Development Team'!H88</f>
        <v>Marietta</v>
      </c>
      <c r="I292" s="353"/>
      <c r="J292" s="353"/>
      <c r="K292" s="1394" t="s">
        <v>2809</v>
      </c>
      <c r="L292" s="1391" t="str">
        <f>'Part II-Development Team'!L88</f>
        <v>www.jmwilkerson.com</v>
      </c>
      <c r="M292" s="353"/>
      <c r="N292" s="353"/>
      <c r="O292" s="1386" t="s">
        <v>1869</v>
      </c>
      <c r="P292" s="1391"/>
      <c r="Q292" s="1416">
        <f>'Part II-Development Team'!Q88</f>
        <v>7709532659</v>
      </c>
      <c r="R292" s="1416"/>
      <c r="S292" s="1416"/>
    </row>
    <row r="293" spans="1:19">
      <c r="A293" s="1391"/>
      <c r="B293" s="1391"/>
      <c r="C293" s="1391"/>
      <c r="D293" s="1391"/>
      <c r="E293" s="1386" t="s">
        <v>1865</v>
      </c>
      <c r="F293" s="1391"/>
      <c r="G293" s="1391"/>
      <c r="H293" s="1394" t="str">
        <f>'Part II-Development Team'!H89</f>
        <v>GA</v>
      </c>
      <c r="I293" s="1391"/>
      <c r="J293" s="1391"/>
      <c r="K293" s="1394" t="s">
        <v>2308</v>
      </c>
      <c r="L293" s="1417">
        <f>'Part II-Development Team'!L89</f>
        <v>300679214</v>
      </c>
      <c r="M293" s="353"/>
      <c r="N293" s="1391"/>
      <c r="O293" s="1386" t="s">
        <v>2054</v>
      </c>
      <c r="P293" s="1391"/>
      <c r="Q293" s="1416">
        <f>'Part II-Development Team'!Q89</f>
        <v>7706758089</v>
      </c>
      <c r="R293" s="1416"/>
      <c r="S293" s="1416"/>
    </row>
    <row r="294" spans="1:19">
      <c r="A294" s="1391"/>
      <c r="B294" s="1391"/>
      <c r="C294" s="1391"/>
      <c r="D294" s="376"/>
      <c r="E294" s="1386" t="s">
        <v>2060</v>
      </c>
      <c r="F294" s="1391"/>
      <c r="G294" s="1391"/>
      <c r="H294" s="1416">
        <f>'Part II-Development Team'!H90</f>
        <v>7709532659</v>
      </c>
      <c r="I294" s="1416"/>
      <c r="J294" s="346">
        <f>'Part II-Development Team'!J90</f>
        <v>249</v>
      </c>
      <c r="K294" s="1394" t="s">
        <v>2059</v>
      </c>
      <c r="L294" s="1418" t="str">
        <f>'Part II-Development Team'!L90</f>
        <v>bhawley@jmwilkerson.com</v>
      </c>
      <c r="M294" s="1418"/>
      <c r="N294" s="1418"/>
      <c r="O294" s="1418"/>
      <c r="P294" s="1418"/>
      <c r="Q294" s="1418"/>
      <c r="R294" s="1418"/>
      <c r="S294" s="1418"/>
    </row>
    <row r="295" spans="1:19">
      <c r="A295" s="338"/>
      <c r="B295" s="338"/>
      <c r="C295" s="338"/>
      <c r="D295" s="338"/>
      <c r="E295" s="338"/>
      <c r="F295" s="338"/>
      <c r="G295" s="338"/>
      <c r="H295" s="1416"/>
      <c r="I295" s="1416"/>
      <c r="J295" s="1416"/>
      <c r="K295" s="1394"/>
      <c r="L295" s="1416"/>
      <c r="M295" s="1416"/>
      <c r="N295" s="1394"/>
      <c r="O295" s="1416"/>
      <c r="P295" s="1416"/>
      <c r="Q295" s="1394"/>
      <c r="R295" s="1416"/>
      <c r="S295" s="1416"/>
    </row>
    <row r="296" spans="1:19">
      <c r="A296" s="1391"/>
      <c r="B296" s="340" t="s">
        <v>779</v>
      </c>
      <c r="C296" s="340" t="s">
        <v>301</v>
      </c>
      <c r="D296" s="1391"/>
      <c r="E296" s="1391"/>
      <c r="F296" s="338"/>
      <c r="G296" s="1391"/>
      <c r="H296" s="1391" t="str">
        <f>'Part II-Development Team'!H92</f>
        <v xml:space="preserve">Dorchester Management </v>
      </c>
      <c r="I296" s="353"/>
      <c r="J296" s="353"/>
      <c r="K296" s="353"/>
      <c r="L296" s="353"/>
      <c r="M296" s="353"/>
      <c r="N296" s="353"/>
      <c r="O296" s="1386" t="s">
        <v>2065</v>
      </c>
      <c r="P296" s="1386"/>
      <c r="Q296" s="1391" t="str">
        <f>'Part II-Development Team'!Q92</f>
        <v>Eddy Benoit, Jr.</v>
      </c>
      <c r="R296" s="353"/>
      <c r="S296" s="353"/>
    </row>
    <row r="297" spans="1:19">
      <c r="A297" s="1391"/>
      <c r="B297" s="1391"/>
      <c r="C297" s="1391"/>
      <c r="D297" s="376"/>
      <c r="E297" s="1386" t="s">
        <v>1058</v>
      </c>
      <c r="F297" s="336"/>
      <c r="G297" s="1391"/>
      <c r="H297" s="1391" t="str">
        <f>'Part II-Development Team'!H93</f>
        <v>6780 Roswell Road, Suite 200</v>
      </c>
      <c r="I297" s="353"/>
      <c r="J297" s="353"/>
      <c r="K297" s="353"/>
      <c r="L297" s="353"/>
      <c r="M297" s="353"/>
      <c r="N297" s="353"/>
      <c r="O297" s="1386" t="s">
        <v>1813</v>
      </c>
      <c r="P297" s="1391"/>
      <c r="Q297" s="1391" t="str">
        <f>'Part II-Development Team'!Q93</f>
        <v>Chief Executive Officer</v>
      </c>
      <c r="R297" s="353"/>
      <c r="S297" s="353"/>
    </row>
    <row r="298" spans="1:19">
      <c r="A298" s="1391"/>
      <c r="B298" s="1391"/>
      <c r="C298" s="1391"/>
      <c r="D298" s="376"/>
      <c r="E298" s="1386" t="s">
        <v>642</v>
      </c>
      <c r="F298" s="1391"/>
      <c r="G298" s="1391"/>
      <c r="H298" s="1391" t="str">
        <f>'Part II-Development Team'!H94</f>
        <v>Atlanta</v>
      </c>
      <c r="I298" s="353"/>
      <c r="J298" s="353"/>
      <c r="K298" s="1394" t="s">
        <v>2809</v>
      </c>
      <c r="L298" s="1391" t="str">
        <f>'Part II-Development Team'!L94</f>
        <v>www.dorchestermgmt.com</v>
      </c>
      <c r="M298" s="353"/>
      <c r="N298" s="353"/>
      <c r="O298" s="1386" t="s">
        <v>1869</v>
      </c>
      <c r="P298" s="1391"/>
      <c r="Q298" s="1416">
        <f>'Part II-Development Team'!Q94</f>
        <v>6785145901</v>
      </c>
      <c r="R298" s="1416"/>
      <c r="S298" s="1416"/>
    </row>
    <row r="299" spans="1:19">
      <c r="A299" s="1391"/>
      <c r="B299" s="1391"/>
      <c r="C299" s="1391"/>
      <c r="D299" s="376"/>
      <c r="E299" s="1386" t="s">
        <v>1865</v>
      </c>
      <c r="F299" s="1391"/>
      <c r="G299" s="1391"/>
      <c r="H299" s="1394" t="str">
        <f>'Part II-Development Team'!H95</f>
        <v>GA</v>
      </c>
      <c r="I299" s="1391"/>
      <c r="J299" s="1391"/>
      <c r="K299" s="1394" t="s">
        <v>2308</v>
      </c>
      <c r="L299" s="1417">
        <f>'Part II-Development Team'!L95</f>
        <v>303282589</v>
      </c>
      <c r="M299" s="353"/>
      <c r="N299" s="1391"/>
      <c r="O299" s="1386" t="s">
        <v>2054</v>
      </c>
      <c r="P299" s="1391"/>
      <c r="Q299" s="1416">
        <f>'Part II-Development Team'!Q95</f>
        <v>7703292334</v>
      </c>
      <c r="R299" s="1416"/>
      <c r="S299" s="1416"/>
    </row>
    <row r="300" spans="1:19">
      <c r="A300" s="1391"/>
      <c r="B300" s="1391"/>
      <c r="C300" s="1391"/>
      <c r="D300" s="376"/>
      <c r="E300" s="1386" t="s">
        <v>2060</v>
      </c>
      <c r="F300" s="1391"/>
      <c r="G300" s="1391"/>
      <c r="H300" s="1416">
        <f>'Part II-Development Team'!H96</f>
        <v>6785145900</v>
      </c>
      <c r="I300" s="1416"/>
      <c r="J300" s="346">
        <f>'Part II-Development Team'!J96</f>
        <v>0</v>
      </c>
      <c r="K300" s="1394" t="s">
        <v>2059</v>
      </c>
      <c r="L300" s="1418" t="str">
        <f>'Part II-Development Team'!L96</f>
        <v>ebenoit@thebenoitgroup.com</v>
      </c>
      <c r="M300" s="1418"/>
      <c r="N300" s="1418"/>
      <c r="O300" s="1418"/>
      <c r="P300" s="1418"/>
      <c r="Q300" s="1418"/>
      <c r="R300" s="1418"/>
      <c r="S300" s="1418"/>
    </row>
    <row r="301" spans="1:19">
      <c r="A301" s="338"/>
      <c r="B301" s="338"/>
      <c r="C301" s="338"/>
      <c r="D301" s="338"/>
      <c r="E301" s="338"/>
      <c r="F301" s="338"/>
      <c r="G301" s="338"/>
      <c r="H301" s="1416"/>
      <c r="I301" s="1416"/>
      <c r="J301" s="1416"/>
      <c r="K301" s="1394"/>
      <c r="L301" s="1416"/>
      <c r="M301" s="1416"/>
      <c r="N301" s="1394"/>
      <c r="O301" s="1416"/>
      <c r="P301" s="1416"/>
      <c r="Q301" s="1394"/>
      <c r="R301" s="1416"/>
      <c r="S301" s="1416"/>
    </row>
    <row r="302" spans="1:19">
      <c r="A302" s="1391"/>
      <c r="B302" s="340" t="s">
        <v>2193</v>
      </c>
      <c r="C302" s="340" t="s">
        <v>302</v>
      </c>
      <c r="D302" s="1391"/>
      <c r="E302" s="1391"/>
      <c r="F302" s="1391"/>
      <c r="G302" s="1391"/>
      <c r="H302" s="1391" t="str">
        <f>'Part II-Development Team'!H98</f>
        <v>Arnall Golden Gregory, LLP</v>
      </c>
      <c r="I302" s="353"/>
      <c r="J302" s="353"/>
      <c r="K302" s="353"/>
      <c r="L302" s="353"/>
      <c r="M302" s="353"/>
      <c r="N302" s="353"/>
      <c r="O302" s="1386" t="s">
        <v>2065</v>
      </c>
      <c r="P302" s="1386"/>
      <c r="Q302" s="1391" t="str">
        <f>'Part II-Development Team'!Q98</f>
        <v>Alteha J. K. Broughton</v>
      </c>
      <c r="R302" s="353"/>
      <c r="S302" s="353"/>
    </row>
    <row r="303" spans="1:19">
      <c r="A303" s="1391"/>
      <c r="B303" s="1391"/>
      <c r="C303" s="1391"/>
      <c r="D303" s="376"/>
      <c r="E303" s="1386" t="s">
        <v>1058</v>
      </c>
      <c r="F303" s="336"/>
      <c r="G303" s="1391"/>
      <c r="H303" s="1391" t="str">
        <f>'Part II-Development Team'!H99</f>
        <v>171 17th Street NW</v>
      </c>
      <c r="I303" s="353"/>
      <c r="J303" s="353"/>
      <c r="K303" s="353"/>
      <c r="L303" s="353"/>
      <c r="M303" s="353"/>
      <c r="N303" s="353"/>
      <c r="O303" s="1386" t="s">
        <v>1813</v>
      </c>
      <c r="P303" s="1391"/>
      <c r="Q303" s="1391" t="str">
        <f>'Part II-Development Team'!Q99</f>
        <v>Partner</v>
      </c>
      <c r="R303" s="353"/>
      <c r="S303" s="353"/>
    </row>
    <row r="304" spans="1:19">
      <c r="A304" s="1391"/>
      <c r="B304" s="1391"/>
      <c r="C304" s="1391"/>
      <c r="D304" s="376"/>
      <c r="E304" s="1386" t="s">
        <v>642</v>
      </c>
      <c r="F304" s="1391"/>
      <c r="G304" s="1391"/>
      <c r="H304" s="1391" t="str">
        <f>'Part II-Development Team'!H100</f>
        <v>Atlanta</v>
      </c>
      <c r="I304" s="353"/>
      <c r="J304" s="353"/>
      <c r="K304" s="1394" t="s">
        <v>2809</v>
      </c>
      <c r="L304" s="1391" t="str">
        <f>'Part II-Development Team'!L100</f>
        <v>www.agg.com</v>
      </c>
      <c r="M304" s="353"/>
      <c r="N304" s="353"/>
      <c r="O304" s="1386" t="s">
        <v>1869</v>
      </c>
      <c r="P304" s="1391"/>
      <c r="Q304" s="1416">
        <f>'Part II-Development Team'!Q100</f>
        <v>4048738708</v>
      </c>
      <c r="R304" s="1416"/>
      <c r="S304" s="1416"/>
    </row>
    <row r="305" spans="1:19">
      <c r="A305" s="1391"/>
      <c r="B305" s="1391"/>
      <c r="C305" s="1391"/>
      <c r="D305" s="376"/>
      <c r="E305" s="1386" t="s">
        <v>1865</v>
      </c>
      <c r="F305" s="1391"/>
      <c r="G305" s="1391"/>
      <c r="H305" s="1394" t="str">
        <f>'Part II-Development Team'!H101</f>
        <v>GA</v>
      </c>
      <c r="I305" s="1391"/>
      <c r="J305" s="1391"/>
      <c r="K305" s="1394" t="s">
        <v>2308</v>
      </c>
      <c r="L305" s="1417">
        <f>'Part II-Development Team'!L101</f>
        <v>303631031</v>
      </c>
      <c r="M305" s="353"/>
      <c r="N305" s="1391"/>
      <c r="O305" s="1386" t="s">
        <v>2054</v>
      </c>
      <c r="P305" s="1391"/>
      <c r="Q305" s="1416">
        <f>'Part II-Development Team'!Q101</f>
        <v>4042810723</v>
      </c>
      <c r="R305" s="1416"/>
      <c r="S305" s="1416"/>
    </row>
    <row r="306" spans="1:19">
      <c r="A306" s="338"/>
      <c r="B306" s="338"/>
      <c r="C306" s="338"/>
      <c r="D306" s="338"/>
      <c r="E306" s="1386" t="s">
        <v>2060</v>
      </c>
      <c r="F306" s="1391"/>
      <c r="G306" s="1391"/>
      <c r="H306" s="1416">
        <f>'Part II-Development Team'!H102</f>
        <v>4048738500</v>
      </c>
      <c r="I306" s="1416"/>
      <c r="J306" s="346">
        <f>'Part II-Development Team'!J102</f>
        <v>0</v>
      </c>
      <c r="K306" s="1394" t="s">
        <v>2059</v>
      </c>
      <c r="L306" s="1418" t="str">
        <f>'Part II-Development Team'!L102</f>
        <v>althea.broughton@agg.com</v>
      </c>
      <c r="M306" s="1418"/>
      <c r="N306" s="1418"/>
      <c r="O306" s="1418"/>
      <c r="P306" s="1418"/>
      <c r="Q306" s="1418"/>
      <c r="R306" s="1418"/>
      <c r="S306" s="1418"/>
    </row>
    <row r="307" spans="1:19">
      <c r="A307" s="338"/>
      <c r="B307" s="338"/>
      <c r="C307" s="338"/>
      <c r="D307" s="338"/>
      <c r="E307" s="1386"/>
      <c r="F307" s="1391"/>
      <c r="G307" s="1391"/>
      <c r="H307" s="1391"/>
      <c r="I307" s="1391"/>
      <c r="J307" s="1391"/>
      <c r="K307" s="1391"/>
      <c r="L307" s="1391"/>
      <c r="M307" s="1391"/>
      <c r="N307" s="1391"/>
      <c r="O307" s="1391"/>
      <c r="P307" s="1391"/>
      <c r="Q307" s="1394"/>
      <c r="R307" s="1394"/>
      <c r="S307" s="338"/>
    </row>
    <row r="308" spans="1:19">
      <c r="A308" s="338"/>
      <c r="B308" s="338"/>
      <c r="C308" s="338"/>
      <c r="D308" s="338"/>
      <c r="E308" s="1386"/>
      <c r="F308" s="1391"/>
      <c r="G308" s="1391"/>
      <c r="H308" s="1416"/>
      <c r="I308" s="1416"/>
      <c r="J308" s="1416"/>
      <c r="K308" s="1394"/>
      <c r="L308" s="1416"/>
      <c r="M308" s="1416"/>
      <c r="N308" s="1394"/>
      <c r="O308" s="1416"/>
      <c r="P308" s="1416"/>
      <c r="Q308" s="1394"/>
      <c r="R308" s="1416"/>
      <c r="S308" s="1416"/>
    </row>
    <row r="309" spans="1:19">
      <c r="A309" s="1391"/>
      <c r="B309" s="340" t="s">
        <v>1801</v>
      </c>
      <c r="C309" s="340" t="s">
        <v>303</v>
      </c>
      <c r="D309" s="1391"/>
      <c r="E309" s="1391"/>
      <c r="F309" s="1391"/>
      <c r="G309" s="1391"/>
      <c r="H309" s="1391" t="str">
        <f>'Part II-Development Team'!H105</f>
        <v>Cohn Reznick</v>
      </c>
      <c r="I309" s="353"/>
      <c r="J309" s="353"/>
      <c r="K309" s="353"/>
      <c r="L309" s="353"/>
      <c r="M309" s="353"/>
      <c r="N309" s="353"/>
      <c r="O309" s="1386" t="s">
        <v>2065</v>
      </c>
      <c r="P309" s="1386"/>
      <c r="Q309" s="1391" t="str">
        <f>'Part II-Development Team'!Q105</f>
        <v>Dan Worrall</v>
      </c>
      <c r="R309" s="353"/>
      <c r="S309" s="353"/>
    </row>
    <row r="310" spans="1:19">
      <c r="A310" s="1391"/>
      <c r="B310" s="1391"/>
      <c r="C310" s="1391"/>
      <c r="D310" s="376"/>
      <c r="E310" s="1386" t="s">
        <v>1058</v>
      </c>
      <c r="F310" s="336"/>
      <c r="G310" s="1391"/>
      <c r="H310" s="1391" t="str">
        <f>'Part II-Development Team'!H106</f>
        <v>3560 Lenox Road, NE, Suite 2800</v>
      </c>
      <c r="I310" s="353"/>
      <c r="J310" s="353"/>
      <c r="K310" s="353"/>
      <c r="L310" s="353"/>
      <c r="M310" s="353"/>
      <c r="N310" s="353"/>
      <c r="O310" s="1386" t="s">
        <v>1813</v>
      </c>
      <c r="P310" s="1391"/>
      <c r="Q310" s="1391" t="str">
        <f>'Part II-Development Team'!Q106</f>
        <v>Partner</v>
      </c>
      <c r="R310" s="353"/>
      <c r="S310" s="353"/>
    </row>
    <row r="311" spans="1:19">
      <c r="A311" s="1391"/>
      <c r="B311" s="1391"/>
      <c r="C311" s="1391"/>
      <c r="D311" s="376"/>
      <c r="E311" s="1386" t="s">
        <v>642</v>
      </c>
      <c r="F311" s="1391"/>
      <c r="G311" s="1391"/>
      <c r="H311" s="1391" t="str">
        <f>'Part II-Development Team'!H107</f>
        <v>Atlanta</v>
      </c>
      <c r="I311" s="353"/>
      <c r="J311" s="353"/>
      <c r="K311" s="1394" t="s">
        <v>2809</v>
      </c>
      <c r="L311" s="1391" t="str">
        <f>'Part II-Development Team'!L107</f>
        <v>www.cohnreznick.com</v>
      </c>
      <c r="M311" s="353"/>
      <c r="N311" s="353"/>
      <c r="O311" s="1386" t="s">
        <v>1869</v>
      </c>
      <c r="P311" s="1391"/>
      <c r="Q311" s="1416">
        <f>'Part II-Development Team'!Q107</f>
        <v>4048477640</v>
      </c>
      <c r="R311" s="1416"/>
      <c r="S311" s="1416"/>
    </row>
    <row r="312" spans="1:19">
      <c r="A312" s="1391"/>
      <c r="B312" s="1391"/>
      <c r="C312" s="1391"/>
      <c r="D312" s="376"/>
      <c r="E312" s="1386" t="s">
        <v>1865</v>
      </c>
      <c r="F312" s="1391"/>
      <c r="G312" s="1391"/>
      <c r="H312" s="1394" t="str">
        <f>'Part II-Development Team'!H108</f>
        <v>GA</v>
      </c>
      <c r="I312" s="1391"/>
      <c r="J312" s="1391"/>
      <c r="K312" s="1394" t="s">
        <v>2308</v>
      </c>
      <c r="L312" s="1417">
        <f>'Part II-Development Team'!L108</f>
        <v>303264276</v>
      </c>
      <c r="M312" s="353"/>
      <c r="N312" s="1391"/>
      <c r="O312" s="1386" t="s">
        <v>2054</v>
      </c>
      <c r="P312" s="1391"/>
      <c r="Q312" s="1416">
        <f>'Part II-Development Team'!Q108</f>
        <v>4044325113</v>
      </c>
      <c r="R312" s="1416"/>
      <c r="S312" s="1416"/>
    </row>
    <row r="313" spans="1:19">
      <c r="A313" s="338"/>
      <c r="B313" s="338"/>
      <c r="C313" s="338"/>
      <c r="D313" s="338"/>
      <c r="E313" s="1386" t="s">
        <v>2060</v>
      </c>
      <c r="F313" s="1391"/>
      <c r="G313" s="1391"/>
      <c r="H313" s="1416">
        <f>'Part II-Development Team'!H109</f>
        <v>4048479447</v>
      </c>
      <c r="I313" s="1416"/>
      <c r="J313" s="346">
        <f>'Part II-Development Team'!J109</f>
        <v>0</v>
      </c>
      <c r="K313" s="1394" t="s">
        <v>2059</v>
      </c>
      <c r="L313" s="1418" t="str">
        <f>'Part II-Development Team'!L109</f>
        <v>dan.worrall@cohnreznick.com</v>
      </c>
      <c r="M313" s="1418"/>
      <c r="N313" s="1418"/>
      <c r="O313" s="1418"/>
      <c r="P313" s="1418"/>
      <c r="Q313" s="1418"/>
      <c r="R313" s="1418"/>
      <c r="S313" s="1418"/>
    </row>
    <row r="314" spans="1:19">
      <c r="A314" s="338"/>
      <c r="B314" s="338"/>
      <c r="C314" s="338"/>
      <c r="D314" s="338"/>
      <c r="E314" s="1386"/>
      <c r="F314" s="1391"/>
      <c r="G314" s="1391"/>
      <c r="H314" s="1416"/>
      <c r="I314" s="1416"/>
      <c r="J314" s="1416"/>
      <c r="K314" s="1394"/>
      <c r="L314" s="1416"/>
      <c r="M314" s="1416"/>
      <c r="N314" s="1394"/>
      <c r="O314" s="1416"/>
      <c r="P314" s="1416"/>
      <c r="Q314" s="1394"/>
      <c r="R314" s="1416"/>
      <c r="S314" s="1416"/>
    </row>
    <row r="315" spans="1:19">
      <c r="A315" s="1391"/>
      <c r="B315" s="340" t="s">
        <v>1802</v>
      </c>
      <c r="C315" s="340" t="s">
        <v>304</v>
      </c>
      <c r="D315" s="1391"/>
      <c r="E315" s="1391"/>
      <c r="F315" s="1391"/>
      <c r="G315" s="1391"/>
      <c r="H315" s="1391" t="str">
        <f>'Part II-Development Team'!H111</f>
        <v>Turner Spangler Walsh</v>
      </c>
      <c r="I315" s="353"/>
      <c r="J315" s="353"/>
      <c r="K315" s="353"/>
      <c r="L315" s="353"/>
      <c r="M315" s="353"/>
      <c r="N315" s="353"/>
      <c r="O315" s="1386" t="s">
        <v>2065</v>
      </c>
      <c r="P315" s="1386"/>
      <c r="Q315" s="1391" t="str">
        <f>'Part II-Development Team'!Q111</f>
        <v>Jerry W. Spangler</v>
      </c>
      <c r="R315" s="353"/>
      <c r="S315" s="353"/>
    </row>
    <row r="316" spans="1:19">
      <c r="A316" s="1391"/>
      <c r="B316" s="1391"/>
      <c r="C316" s="1391"/>
      <c r="D316" s="376"/>
      <c r="E316" s="1386" t="s">
        <v>1058</v>
      </c>
      <c r="F316" s="336"/>
      <c r="G316" s="1391"/>
      <c r="H316" s="1391" t="str">
        <f>'Part II-Development Team'!H112</f>
        <v>1389 Peachtree Street, NE, Suite 200</v>
      </c>
      <c r="I316" s="353"/>
      <c r="J316" s="353"/>
      <c r="K316" s="353"/>
      <c r="L316" s="353"/>
      <c r="M316" s="353"/>
      <c r="N316" s="353"/>
      <c r="O316" s="1386" t="s">
        <v>1813</v>
      </c>
      <c r="P316" s="1391"/>
      <c r="Q316" s="1391" t="str">
        <f>'Part II-Development Team'!Q112</f>
        <v>Principal</v>
      </c>
      <c r="R316" s="353"/>
      <c r="S316" s="353"/>
    </row>
    <row r="317" spans="1:19">
      <c r="A317" s="1391"/>
      <c r="B317" s="1391"/>
      <c r="C317" s="1391"/>
      <c r="D317" s="376"/>
      <c r="E317" s="1386" t="s">
        <v>642</v>
      </c>
      <c r="F317" s="1391"/>
      <c r="G317" s="1391"/>
      <c r="H317" s="1391" t="str">
        <f>'Part II-Development Team'!H113</f>
        <v>Atlanta</v>
      </c>
      <c r="I317" s="353"/>
      <c r="J317" s="353"/>
      <c r="K317" s="1394" t="s">
        <v>2809</v>
      </c>
      <c r="L317" s="1391" t="str">
        <f>'Part II-Development Team'!L113</f>
        <v>www.tsw-design.com</v>
      </c>
      <c r="M317" s="353"/>
      <c r="N317" s="353"/>
      <c r="O317" s="1386" t="s">
        <v>1869</v>
      </c>
      <c r="P317" s="1391"/>
      <c r="Q317" s="1416">
        <f>'Part II-Development Team'!Q113</f>
        <v>4048736730</v>
      </c>
      <c r="R317" s="1416"/>
      <c r="S317" s="1416"/>
    </row>
    <row r="318" spans="1:19">
      <c r="A318" s="1391"/>
      <c r="B318" s="1391"/>
      <c r="C318" s="1391"/>
      <c r="D318" s="376"/>
      <c r="E318" s="1386" t="s">
        <v>1865</v>
      </c>
      <c r="F318" s="1391"/>
      <c r="G318" s="1391"/>
      <c r="H318" s="1394" t="str">
        <f>'Part II-Development Team'!H114</f>
        <v>GA</v>
      </c>
      <c r="I318" s="1391"/>
      <c r="J318" s="1391"/>
      <c r="K318" s="1394" t="s">
        <v>2308</v>
      </c>
      <c r="L318" s="1417">
        <f>'Part II-Development Team'!L114</f>
        <v>303093038</v>
      </c>
      <c r="M318" s="353"/>
      <c r="N318" s="1391"/>
      <c r="O318" s="1386" t="s">
        <v>2054</v>
      </c>
      <c r="P318" s="1391"/>
      <c r="Q318" s="1416">
        <f>'Part II-Development Team'!Q114</f>
        <v>4047880005</v>
      </c>
      <c r="R318" s="1416"/>
      <c r="S318" s="1416"/>
    </row>
    <row r="319" spans="1:19">
      <c r="A319" s="1391"/>
      <c r="B319" s="1391"/>
      <c r="C319" s="1391"/>
      <c r="D319" s="376"/>
      <c r="E319" s="1386" t="s">
        <v>2060</v>
      </c>
      <c r="F319" s="1391"/>
      <c r="G319" s="1391"/>
      <c r="H319" s="1416">
        <f>'Part II-Development Team'!H115</f>
        <v>4048736730</v>
      </c>
      <c r="I319" s="1416"/>
      <c r="J319" s="346">
        <f>'Part II-Development Team'!J115</f>
        <v>119</v>
      </c>
      <c r="K319" s="1394" t="s">
        <v>2059</v>
      </c>
      <c r="L319" s="1418" t="str">
        <f>'Part II-Development Team'!L115</f>
        <v>jspangler@tsw-design.com</v>
      </c>
      <c r="M319" s="1418"/>
      <c r="N319" s="1418"/>
      <c r="O319" s="1418"/>
      <c r="P319" s="1418"/>
      <c r="Q319" s="1418"/>
      <c r="R319" s="1418"/>
      <c r="S319" s="1418"/>
    </row>
    <row r="320" spans="1:19">
      <c r="A320" s="338"/>
      <c r="B320" s="338"/>
      <c r="C320" s="338"/>
      <c r="D320" s="338"/>
      <c r="E320" s="338"/>
      <c r="F320" s="338"/>
      <c r="G320" s="338"/>
      <c r="H320" s="338"/>
      <c r="I320" s="338"/>
      <c r="J320" s="338"/>
      <c r="K320" s="338"/>
      <c r="L320" s="338"/>
      <c r="M320" s="338"/>
      <c r="N320" s="338"/>
      <c r="O320" s="338"/>
      <c r="P320" s="338"/>
      <c r="Q320" s="338"/>
      <c r="R320" s="338"/>
      <c r="S320" s="338"/>
    </row>
    <row r="321" spans="1:19">
      <c r="A321" s="340" t="s">
        <v>1858</v>
      </c>
      <c r="B321" s="340" t="s">
        <v>2691</v>
      </c>
      <c r="C321" s="1391"/>
      <c r="D321" s="1391"/>
      <c r="E321" s="1391"/>
      <c r="F321" s="340"/>
      <c r="G321" s="1394"/>
      <c r="H321" s="1394"/>
      <c r="I321" s="1394"/>
      <c r="J321" s="1394"/>
      <c r="K321" s="1394"/>
      <c r="L321" s="1394"/>
      <c r="M321" s="1394"/>
      <c r="N321" s="1394"/>
      <c r="O321" s="1394"/>
      <c r="P321" s="1394"/>
      <c r="Q321" s="1394"/>
      <c r="R321" s="1391"/>
      <c r="S321" s="1391"/>
    </row>
    <row r="322" spans="1:19">
      <c r="A322" s="1391"/>
      <c r="B322" s="340" t="s">
        <v>2058</v>
      </c>
      <c r="C322" s="340" t="s">
        <v>3870</v>
      </c>
      <c r="D322" s="1391"/>
      <c r="E322" s="1391"/>
      <c r="F322" s="1391"/>
      <c r="G322" s="1391"/>
      <c r="H322" s="1391" t="str">
        <f>'Part II-Development Team'!H118</f>
        <v>Wheat Street Charitable Foundation, LLC</v>
      </c>
      <c r="I322" s="1391"/>
      <c r="J322" s="1391"/>
      <c r="K322" s="1394" t="s">
        <v>2560</v>
      </c>
      <c r="L322" s="1391" t="str">
        <f>'Part II-Development Team'!L118</f>
        <v>Eric W. Borders</v>
      </c>
      <c r="M322" s="353"/>
      <c r="N322" s="353"/>
      <c r="O322" s="1386" t="s">
        <v>3871</v>
      </c>
      <c r="P322" s="1391"/>
      <c r="Q322" s="1391">
        <f>'Part II-Development Team'!Q118</f>
        <v>4049647508</v>
      </c>
      <c r="R322" s="353"/>
      <c r="S322" s="353"/>
    </row>
    <row r="323" spans="1:19">
      <c r="A323" s="1391"/>
      <c r="B323" s="1391"/>
      <c r="C323" s="1391"/>
      <c r="D323" s="376"/>
      <c r="E323" s="1386" t="s">
        <v>1058</v>
      </c>
      <c r="F323" s="336"/>
      <c r="G323" s="1391"/>
      <c r="H323" s="1391" t="str">
        <f>'Part II-Development Team'!H119</f>
        <v>375 Auburn Avenue, NE</v>
      </c>
      <c r="I323" s="353"/>
      <c r="J323" s="353"/>
      <c r="K323" s="353"/>
      <c r="L323" s="353"/>
      <c r="M323" s="353"/>
      <c r="N323" s="353"/>
      <c r="O323" s="1386" t="s">
        <v>642</v>
      </c>
      <c r="P323" s="1391"/>
      <c r="Q323" s="1391" t="str">
        <f>'Part II-Development Team'!Q119</f>
        <v>Atlanta</v>
      </c>
      <c r="R323" s="353"/>
      <c r="S323" s="353"/>
    </row>
    <row r="324" spans="1:19">
      <c r="A324" s="1391"/>
      <c r="B324" s="1391"/>
      <c r="C324" s="1391"/>
      <c r="D324" s="376"/>
      <c r="E324" s="1386" t="s">
        <v>1865</v>
      </c>
      <c r="F324" s="1391"/>
      <c r="G324" s="1391"/>
      <c r="H324" s="1394" t="str">
        <f>'Part II-Development Team'!H120</f>
        <v>GA</v>
      </c>
      <c r="I324" s="1394" t="s">
        <v>2308</v>
      </c>
      <c r="J324" s="1417">
        <f>'Part II-Development Team'!J120</f>
        <v>303121517</v>
      </c>
      <c r="K324" s="353"/>
      <c r="L324" s="1394" t="s">
        <v>2059</v>
      </c>
      <c r="M324" s="1418" t="str">
        <f>'Part II-Development Team'!M120</f>
        <v>ericwborders@att.net</v>
      </c>
      <c r="N324" s="1418"/>
      <c r="O324" s="1418"/>
      <c r="P324" s="1418"/>
      <c r="Q324" s="1418"/>
      <c r="R324" s="1418"/>
      <c r="S324" s="1418"/>
    </row>
    <row r="325" spans="1:19">
      <c r="A325" s="338"/>
      <c r="B325" s="340" t="s">
        <v>2061</v>
      </c>
      <c r="C325" s="340" t="s">
        <v>2974</v>
      </c>
      <c r="D325" s="338"/>
      <c r="E325" s="338"/>
      <c r="F325" s="338"/>
      <c r="G325" s="338"/>
      <c r="H325" s="1412"/>
      <c r="I325" s="1412"/>
      <c r="J325" s="1412"/>
      <c r="K325" s="1412"/>
      <c r="L325" s="1412"/>
      <c r="M325" s="1412"/>
      <c r="N325" s="1412"/>
      <c r="O325" s="1412"/>
      <c r="P325" s="1412"/>
      <c r="Q325" s="1412"/>
      <c r="R325" s="1412"/>
      <c r="S325" s="1412"/>
    </row>
    <row r="326" spans="1:19" ht="12.75" customHeight="1">
      <c r="A326" s="1412" t="s">
        <v>3686</v>
      </c>
      <c r="B326" s="1412"/>
      <c r="C326" s="1412"/>
      <c r="D326" s="1412"/>
      <c r="E326" s="1412"/>
      <c r="F326" s="346" t="s">
        <v>2597</v>
      </c>
      <c r="G326" s="1442" t="s">
        <v>3747</v>
      </c>
      <c r="H326" s="1442"/>
      <c r="I326" s="1442"/>
      <c r="J326" s="1442"/>
      <c r="K326" s="1442"/>
      <c r="L326" s="1442"/>
      <c r="M326" s="1442"/>
      <c r="N326" s="1442"/>
      <c r="O326" s="1442"/>
      <c r="P326" s="1442"/>
      <c r="Q326" s="1442"/>
      <c r="R326" s="1442"/>
      <c r="S326" s="1442"/>
    </row>
    <row r="327" spans="1:19" ht="12.75" customHeight="1">
      <c r="A327" s="1391"/>
      <c r="B327" s="362"/>
      <c r="C327" s="1457" t="s">
        <v>2062</v>
      </c>
      <c r="D327" s="1412" t="s">
        <v>2975</v>
      </c>
      <c r="E327" s="1412"/>
      <c r="F327" s="1458" t="str">
        <f>'Part II-Development Team'!F123</f>
        <v>No</v>
      </c>
      <c r="G327" s="1459">
        <f>'Part II-Development Team'!G123</f>
        <v>0</v>
      </c>
      <c r="H327" s="1459"/>
      <c r="I327" s="1459"/>
      <c r="J327" s="1459"/>
      <c r="K327" s="1459"/>
      <c r="L327" s="1459"/>
      <c r="M327" s="1459"/>
      <c r="N327" s="1459"/>
      <c r="O327" s="1459"/>
      <c r="P327" s="1459"/>
      <c r="Q327" s="1459"/>
      <c r="R327" s="1459"/>
      <c r="S327" s="1459"/>
    </row>
    <row r="328" spans="1:19" ht="12.75" customHeight="1">
      <c r="A328" s="1391"/>
      <c r="B328" s="362"/>
      <c r="C328" s="1457" t="s">
        <v>2064</v>
      </c>
      <c r="D328" s="1412" t="s">
        <v>3046</v>
      </c>
      <c r="E328" s="1412"/>
      <c r="F328" s="1458" t="str">
        <f>'Part II-Development Team'!F124</f>
        <v>Yes</v>
      </c>
      <c r="G328" s="1459" t="str">
        <f>'Part II-Development Team'!G124</f>
        <v>Wheat Street Charitable Foundation, LLC is the land seller and principal of the "Other General Partner", Wheat Street Towers, LLC and principal of the co-developer, WSCF Development, LLC.</v>
      </c>
      <c r="H328" s="1459"/>
      <c r="I328" s="1459"/>
      <c r="J328" s="1459"/>
      <c r="K328" s="1459"/>
      <c r="L328" s="1459"/>
      <c r="M328" s="1459"/>
      <c r="N328" s="1459"/>
      <c r="O328" s="1459"/>
      <c r="P328" s="1459"/>
      <c r="Q328" s="1459"/>
      <c r="R328" s="1459"/>
      <c r="S328" s="1459"/>
    </row>
    <row r="329" spans="1:19" ht="12.75" customHeight="1">
      <c r="A329" s="1391"/>
      <c r="B329" s="362"/>
      <c r="C329" s="1457" t="s">
        <v>2622</v>
      </c>
      <c r="D329" s="1412" t="s">
        <v>3018</v>
      </c>
      <c r="E329" s="1412"/>
      <c r="F329" s="1458" t="str">
        <f>'Part II-Development Team'!F125</f>
        <v>No</v>
      </c>
      <c r="G329" s="1459">
        <f>'Part II-Development Team'!G125</f>
        <v>0</v>
      </c>
      <c r="H329" s="1459"/>
      <c r="I329" s="1459"/>
      <c r="J329" s="1459"/>
      <c r="K329" s="1459"/>
      <c r="L329" s="1459"/>
      <c r="M329" s="1459"/>
      <c r="N329" s="1459"/>
      <c r="O329" s="1459"/>
      <c r="P329" s="1459"/>
      <c r="Q329" s="1459"/>
      <c r="R329" s="1459"/>
      <c r="S329" s="1459"/>
    </row>
    <row r="330" spans="1:19" ht="12.75" customHeight="1">
      <c r="A330" s="1391"/>
      <c r="B330" s="362"/>
      <c r="C330" s="1457" t="s">
        <v>1270</v>
      </c>
      <c r="D330" s="1412" t="s">
        <v>2976</v>
      </c>
      <c r="E330" s="1412"/>
      <c r="F330" s="1458" t="str">
        <f>'Part II-Development Team'!F126</f>
        <v>No</v>
      </c>
      <c r="G330" s="1459">
        <f>'Part II-Development Team'!G126</f>
        <v>0</v>
      </c>
      <c r="H330" s="1459"/>
      <c r="I330" s="1459"/>
      <c r="J330" s="1459"/>
      <c r="K330" s="1459"/>
      <c r="L330" s="1459"/>
      <c r="M330" s="1459"/>
      <c r="N330" s="1459"/>
      <c r="O330" s="1459"/>
      <c r="P330" s="1459"/>
      <c r="Q330" s="1459"/>
      <c r="R330" s="1459"/>
      <c r="S330" s="1459"/>
    </row>
    <row r="331" spans="1:19" ht="12.75" customHeight="1">
      <c r="A331" s="1391"/>
      <c r="B331" s="362"/>
      <c r="C331" s="1457" t="s">
        <v>1271</v>
      </c>
      <c r="D331" s="1412" t="s">
        <v>3726</v>
      </c>
      <c r="E331" s="1412"/>
      <c r="F331" s="1458" t="str">
        <f>'Part II-Development Team'!F127</f>
        <v>No</v>
      </c>
      <c r="G331" s="1459">
        <f>'Part II-Development Team'!G127</f>
        <v>0</v>
      </c>
      <c r="H331" s="1459"/>
      <c r="I331" s="1459"/>
      <c r="J331" s="1459"/>
      <c r="K331" s="1459"/>
      <c r="L331" s="1459"/>
      <c r="M331" s="1459"/>
      <c r="N331" s="1459"/>
      <c r="O331" s="1459"/>
      <c r="P331" s="1459"/>
      <c r="Q331" s="1459"/>
      <c r="R331" s="1459"/>
      <c r="S331" s="1459"/>
    </row>
    <row r="332" spans="1:19" ht="12.75" customHeight="1">
      <c r="A332" s="1391"/>
      <c r="B332" s="362"/>
      <c r="C332" s="1457" t="s">
        <v>1955</v>
      </c>
      <c r="D332" s="1412" t="s">
        <v>3727</v>
      </c>
      <c r="E332" s="1412"/>
      <c r="F332" s="1458" t="str">
        <f>'Part II-Development Team'!F128</f>
        <v>No</v>
      </c>
      <c r="G332" s="1459">
        <f>'Part II-Development Team'!G128</f>
        <v>0</v>
      </c>
      <c r="H332" s="1459"/>
      <c r="I332" s="1459"/>
      <c r="J332" s="1459"/>
      <c r="K332" s="1459"/>
      <c r="L332" s="1459"/>
      <c r="M332" s="1459"/>
      <c r="N332" s="1459"/>
      <c r="O332" s="1459"/>
      <c r="P332" s="1459"/>
      <c r="Q332" s="1459"/>
      <c r="R332" s="1459"/>
      <c r="S332" s="1459"/>
    </row>
    <row r="333" spans="1:19" ht="12.75" customHeight="1">
      <c r="A333" s="1391"/>
      <c r="B333" s="362"/>
      <c r="C333" s="1457" t="s">
        <v>521</v>
      </c>
      <c r="D333" s="1412" t="s">
        <v>2977</v>
      </c>
      <c r="E333" s="1412"/>
      <c r="F333" s="1458" t="str">
        <f>'Part II-Development Team'!F129</f>
        <v>No</v>
      </c>
      <c r="G333" s="1459">
        <f>'Part II-Development Team'!G129</f>
        <v>0</v>
      </c>
      <c r="H333" s="1459"/>
      <c r="I333" s="1459"/>
      <c r="J333" s="1459"/>
      <c r="K333" s="1459"/>
      <c r="L333" s="1459"/>
      <c r="M333" s="1459"/>
      <c r="N333" s="1459"/>
      <c r="O333" s="1459"/>
      <c r="P333" s="1459"/>
      <c r="Q333" s="1459"/>
      <c r="R333" s="1459"/>
      <c r="S333" s="1459"/>
    </row>
    <row r="334" spans="1:19" ht="127.5">
      <c r="A334" s="1391"/>
      <c r="B334" s="362"/>
      <c r="C334" s="1457" t="s">
        <v>522</v>
      </c>
      <c r="D334" s="1412" t="s">
        <v>1659</v>
      </c>
      <c r="E334" s="1412"/>
      <c r="F334" s="1458" t="str">
        <f>'Part II-Development Team'!F130</f>
        <v>Yes</v>
      </c>
      <c r="G334" s="1459" t="str">
        <f>'Part II-Development Team'!G130</f>
        <v>Eddy Benoit, Jr. is Principal of the managing general partner, developer, and property management firm.</v>
      </c>
      <c r="H334" s="1459"/>
      <c r="I334" s="1459"/>
      <c r="J334" s="1459"/>
      <c r="K334" s="1459"/>
      <c r="L334" s="1459"/>
      <c r="M334" s="1459"/>
      <c r="N334" s="1459"/>
      <c r="O334" s="1459"/>
      <c r="P334" s="1459"/>
      <c r="Q334" s="1459"/>
      <c r="R334" s="1459"/>
      <c r="S334" s="1459"/>
    </row>
    <row r="335" spans="1:19">
      <c r="A335" s="340" t="s">
        <v>1858</v>
      </c>
      <c r="B335" s="340" t="s">
        <v>2987</v>
      </c>
      <c r="C335" s="1391"/>
      <c r="D335" s="1391"/>
      <c r="E335" s="1391"/>
      <c r="F335" s="340"/>
      <c r="G335" s="1394"/>
      <c r="H335" s="1394"/>
      <c r="I335" s="1394"/>
      <c r="J335" s="1394"/>
      <c r="K335" s="1394"/>
      <c r="L335" s="1394"/>
      <c r="M335" s="1394"/>
      <c r="N335" s="1394"/>
      <c r="O335" s="1394"/>
      <c r="P335" s="1394"/>
      <c r="Q335" s="1394"/>
      <c r="R335" s="1391"/>
      <c r="S335" s="1391"/>
    </row>
    <row r="336" spans="1:19">
      <c r="A336" s="340"/>
      <c r="B336" s="340"/>
      <c r="C336" s="1391"/>
      <c r="D336" s="1391"/>
      <c r="E336" s="1391"/>
      <c r="F336" s="340"/>
      <c r="G336" s="1394"/>
      <c r="H336" s="1394"/>
      <c r="I336" s="1394"/>
      <c r="J336" s="1394"/>
      <c r="K336" s="1394"/>
      <c r="L336" s="1394"/>
      <c r="M336" s="1394"/>
      <c r="N336" s="1394"/>
      <c r="O336" s="1394"/>
      <c r="P336" s="1394"/>
      <c r="Q336" s="1394"/>
      <c r="R336" s="1391"/>
      <c r="S336" s="1391"/>
    </row>
    <row r="337" spans="1:19">
      <c r="A337" s="338"/>
      <c r="B337" s="340" t="s">
        <v>779</v>
      </c>
      <c r="C337" s="340" t="s">
        <v>2978</v>
      </c>
      <c r="D337" s="338"/>
      <c r="E337" s="338"/>
      <c r="F337" s="338"/>
      <c r="G337" s="338"/>
      <c r="H337" s="338"/>
      <c r="I337" s="338"/>
      <c r="J337" s="338"/>
      <c r="K337" s="338"/>
      <c r="L337" s="338"/>
      <c r="M337" s="338"/>
      <c r="N337" s="338"/>
      <c r="O337" s="338"/>
      <c r="P337" s="338"/>
      <c r="Q337" s="338"/>
      <c r="R337" s="338"/>
      <c r="S337" s="338"/>
    </row>
    <row r="338" spans="1:19" ht="12.75" customHeight="1">
      <c r="A338" s="1412" t="s">
        <v>664</v>
      </c>
      <c r="B338" s="1412"/>
      <c r="C338" s="1412"/>
      <c r="D338" s="1412"/>
      <c r="E338" s="1412" t="s">
        <v>3692</v>
      </c>
      <c r="F338" s="1460"/>
      <c r="G338" s="1460"/>
      <c r="H338" s="1460"/>
      <c r="I338" s="1460"/>
      <c r="J338" s="1412" t="s">
        <v>3693</v>
      </c>
      <c r="K338" s="1460" t="s">
        <v>3065</v>
      </c>
      <c r="L338" s="1460" t="s">
        <v>3066</v>
      </c>
      <c r="M338" s="1460" t="s">
        <v>3709</v>
      </c>
      <c r="N338" s="1460"/>
      <c r="O338" s="1460"/>
      <c r="P338" s="1460"/>
      <c r="Q338" s="1460"/>
      <c r="R338" s="1460"/>
      <c r="S338" s="1460"/>
    </row>
    <row r="339" spans="1:19">
      <c r="A339" s="1412"/>
      <c r="B339" s="1412"/>
      <c r="C339" s="1412"/>
      <c r="D339" s="1412"/>
      <c r="E339" s="1460"/>
      <c r="F339" s="1460"/>
      <c r="G339" s="1460"/>
      <c r="H339" s="1460"/>
      <c r="I339" s="1460"/>
      <c r="J339" s="1412"/>
      <c r="K339" s="1460"/>
      <c r="L339" s="1460"/>
      <c r="M339" s="1460"/>
      <c r="N339" s="1460"/>
      <c r="O339" s="1460"/>
      <c r="P339" s="1460"/>
      <c r="Q339" s="1460"/>
      <c r="R339" s="1460"/>
      <c r="S339" s="1460"/>
    </row>
    <row r="340" spans="1:19">
      <c r="A340" s="1412"/>
      <c r="B340" s="1412"/>
      <c r="C340" s="1412"/>
      <c r="D340" s="1412"/>
      <c r="E340" s="1391"/>
      <c r="F340" s="1445"/>
      <c r="G340" s="1445"/>
      <c r="H340" s="1445"/>
      <c r="I340" s="1460"/>
      <c r="J340" s="1412"/>
      <c r="K340" s="1460"/>
      <c r="L340" s="1460"/>
      <c r="M340" s="1460"/>
      <c r="N340" s="1460"/>
      <c r="O340" s="1460"/>
      <c r="P340" s="1460"/>
      <c r="Q340" s="1460"/>
      <c r="R340" s="1460"/>
      <c r="S340" s="1460"/>
    </row>
    <row r="341" spans="1:19" ht="12.75" customHeight="1">
      <c r="A341" s="1412"/>
      <c r="B341" s="1412"/>
      <c r="C341" s="1412"/>
      <c r="D341" s="1412"/>
      <c r="E341" s="684" t="s">
        <v>3725</v>
      </c>
      <c r="F341" s="684"/>
      <c r="G341" s="684"/>
      <c r="H341" s="684"/>
      <c r="I341" s="1460"/>
      <c r="J341" s="1412"/>
      <c r="K341" s="1460"/>
      <c r="L341" s="1460"/>
      <c r="M341" s="1460"/>
      <c r="N341" s="1460"/>
      <c r="O341" s="1460"/>
      <c r="P341" s="1460"/>
      <c r="Q341" s="1460"/>
      <c r="R341" s="1460"/>
      <c r="S341" s="1460"/>
    </row>
    <row r="342" spans="1:19" ht="12.75" customHeight="1">
      <c r="A342" s="1412"/>
      <c r="B342" s="1412"/>
      <c r="C342" s="1412"/>
      <c r="D342" s="1412"/>
      <c r="E342" s="684"/>
      <c r="F342" s="684"/>
      <c r="G342" s="684"/>
      <c r="H342" s="684"/>
      <c r="I342" s="1389" t="s">
        <v>2597</v>
      </c>
      <c r="J342" s="1412"/>
      <c r="K342" s="1460"/>
      <c r="L342" s="1460"/>
      <c r="M342" s="346" t="s">
        <v>2597</v>
      </c>
      <c r="N342" s="353" t="s">
        <v>3064</v>
      </c>
      <c r="O342" s="353"/>
      <c r="P342" s="353"/>
      <c r="Q342" s="353"/>
      <c r="R342" s="353"/>
      <c r="S342" s="353"/>
    </row>
    <row r="343" spans="1:19" ht="12.75" customHeight="1">
      <c r="A343" s="1412" t="s">
        <v>3687</v>
      </c>
      <c r="B343" s="1412"/>
      <c r="C343" s="1412"/>
      <c r="D343" s="1412"/>
      <c r="E343" s="1459" t="str">
        <f>'Part II-Development Team'!E139</f>
        <v>TBG Properties, LLC</v>
      </c>
      <c r="F343" s="1459"/>
      <c r="G343" s="1459"/>
      <c r="H343" s="1459"/>
      <c r="I343" s="1458" t="str">
        <f>'Part II-Development Team'!I139</f>
        <v>No</v>
      </c>
      <c r="J343" s="1458" t="str">
        <f>'Part II-Development Team'!J139</f>
        <v>Yes</v>
      </c>
      <c r="K343" s="1461" t="str">
        <f>'Part II-Development Team'!K139</f>
        <v>For Profit</v>
      </c>
      <c r="L343" s="1462">
        <f>'Part II-Development Team'!L139</f>
        <v>5.1E-5</v>
      </c>
      <c r="M343" s="1458" t="str">
        <f>'Part II-Development Team'!M139</f>
        <v>No</v>
      </c>
      <c r="N343" s="1459">
        <f>'Part II-Development Team'!N139</f>
        <v>0</v>
      </c>
      <c r="O343" s="1459"/>
      <c r="P343" s="1459"/>
      <c r="Q343" s="1459"/>
      <c r="R343" s="1459"/>
      <c r="S343" s="1459"/>
    </row>
    <row r="344" spans="1:19" ht="12.75" customHeight="1">
      <c r="A344" s="1412" t="s">
        <v>3688</v>
      </c>
      <c r="B344" s="1412"/>
      <c r="C344" s="1412"/>
      <c r="D344" s="1412"/>
      <c r="E344" s="1459" t="str">
        <f>'Part II-Development Team'!E140</f>
        <v>Wheat Street Towers, LLC</v>
      </c>
      <c r="F344" s="1459"/>
      <c r="G344" s="1459"/>
      <c r="H344" s="1459"/>
      <c r="I344" s="1458" t="str">
        <f>'Part II-Development Team'!I140</f>
        <v>No</v>
      </c>
      <c r="J344" s="1458" t="str">
        <f>'Part II-Development Team'!J140</f>
        <v>No</v>
      </c>
      <c r="K344" s="1461" t="str">
        <f>'Part II-Development Team'!K140</f>
        <v>For Profit</v>
      </c>
      <c r="L344" s="1462">
        <f>'Part II-Development Team'!L140</f>
        <v>4.8999999999999998E-5</v>
      </c>
      <c r="M344" s="1458" t="str">
        <f>'Part II-Development Team'!M140</f>
        <v>No</v>
      </c>
      <c r="N344" s="1459">
        <f>'Part II-Development Team'!N140</f>
        <v>0</v>
      </c>
      <c r="O344" s="1459"/>
      <c r="P344" s="1459"/>
      <c r="Q344" s="1459"/>
      <c r="R344" s="1459"/>
      <c r="S344" s="1459"/>
    </row>
    <row r="345" spans="1:19" ht="12.75" customHeight="1">
      <c r="A345" s="1412" t="s">
        <v>3689</v>
      </c>
      <c r="B345" s="1412"/>
      <c r="C345" s="1412"/>
      <c r="D345" s="1412"/>
      <c r="E345" s="1459">
        <f>'Part II-Development Team'!E141</f>
        <v>0</v>
      </c>
      <c r="F345" s="1459"/>
      <c r="G345" s="1459"/>
      <c r="H345" s="1459"/>
      <c r="I345" s="1458">
        <f>'Part II-Development Team'!I141</f>
        <v>0</v>
      </c>
      <c r="J345" s="1458">
        <f>'Part II-Development Team'!J141</f>
        <v>0</v>
      </c>
      <c r="K345" s="1461">
        <f>'Part II-Development Team'!K141</f>
        <v>0</v>
      </c>
      <c r="L345" s="1462">
        <f>'Part II-Development Team'!L141</f>
        <v>0</v>
      </c>
      <c r="M345" s="1458">
        <f>'Part II-Development Team'!M141</f>
        <v>0</v>
      </c>
      <c r="N345" s="1459">
        <f>'Part II-Development Team'!N141</f>
        <v>0</v>
      </c>
      <c r="O345" s="1459"/>
      <c r="P345" s="1459"/>
      <c r="Q345" s="1459"/>
      <c r="R345" s="1459"/>
      <c r="S345" s="1459"/>
    </row>
    <row r="346" spans="1:19" ht="12.75" customHeight="1">
      <c r="A346" s="1412" t="s">
        <v>3690</v>
      </c>
      <c r="B346" s="1412"/>
      <c r="C346" s="1412"/>
      <c r="D346" s="1412"/>
      <c r="E346" s="1459" t="str">
        <f>'Part II-Development Team'!E142</f>
        <v>NDC</v>
      </c>
      <c r="F346" s="1459"/>
      <c r="G346" s="1459"/>
      <c r="H346" s="1459"/>
      <c r="I346" s="1458" t="str">
        <f>'Part II-Development Team'!I142</f>
        <v>No</v>
      </c>
      <c r="J346" s="1458" t="str">
        <f>'Part II-Development Team'!J142</f>
        <v>No</v>
      </c>
      <c r="K346" s="1461" t="str">
        <f>'Part II-Development Team'!K142</f>
        <v>Nonprofit</v>
      </c>
      <c r="L346" s="1462">
        <f>'Part II-Development Team'!L142</f>
        <v>0.9899</v>
      </c>
      <c r="M346" s="1458" t="str">
        <f>'Part II-Development Team'!M142</f>
        <v>No</v>
      </c>
      <c r="N346" s="1459">
        <f>'Part II-Development Team'!N142</f>
        <v>0</v>
      </c>
      <c r="O346" s="1459"/>
      <c r="P346" s="1459"/>
      <c r="Q346" s="1459"/>
      <c r="R346" s="1459"/>
      <c r="S346" s="1459"/>
    </row>
    <row r="347" spans="1:19" ht="12.75" customHeight="1">
      <c r="A347" s="1412" t="s">
        <v>3691</v>
      </c>
      <c r="B347" s="1412"/>
      <c r="C347" s="1412"/>
      <c r="D347" s="1412"/>
      <c r="E347" s="1459" t="str">
        <f>'Part II-Development Team'!E143</f>
        <v>Sugar Creek</v>
      </c>
      <c r="F347" s="1459"/>
      <c r="G347" s="1459"/>
      <c r="H347" s="1459"/>
      <c r="I347" s="1458" t="str">
        <f>'Part II-Development Team'!I143</f>
        <v>No</v>
      </c>
      <c r="J347" s="1458" t="str">
        <f>'Part II-Development Team'!J143</f>
        <v>No</v>
      </c>
      <c r="K347" s="1461" t="str">
        <f>'Part II-Development Team'!K143</f>
        <v>For Profit</v>
      </c>
      <c r="L347" s="1462">
        <f>'Part II-Development Team'!L143</f>
        <v>0.01</v>
      </c>
      <c r="M347" s="1458" t="str">
        <f>'Part II-Development Team'!M143</f>
        <v>No</v>
      </c>
      <c r="N347" s="1459">
        <f>'Part II-Development Team'!N143</f>
        <v>0</v>
      </c>
      <c r="O347" s="1459"/>
      <c r="P347" s="1459"/>
      <c r="Q347" s="1459"/>
      <c r="R347" s="1459"/>
      <c r="S347" s="1459"/>
    </row>
    <row r="348" spans="1:19" ht="12.75" customHeight="1">
      <c r="A348" s="1412" t="s">
        <v>3039</v>
      </c>
      <c r="B348" s="1412"/>
      <c r="C348" s="1412"/>
      <c r="D348" s="1412"/>
      <c r="E348" s="1459">
        <f>'Part II-Development Team'!E144</f>
        <v>0</v>
      </c>
      <c r="F348" s="1459"/>
      <c r="G348" s="1459"/>
      <c r="H348" s="1459"/>
      <c r="I348" s="1458">
        <f>'Part II-Development Team'!I144</f>
        <v>0</v>
      </c>
      <c r="J348" s="1458">
        <f>'Part II-Development Team'!J144</f>
        <v>0</v>
      </c>
      <c r="K348" s="1461">
        <f>'Part II-Development Team'!K144</f>
        <v>0</v>
      </c>
      <c r="L348" s="1462">
        <f>'Part II-Development Team'!L144</f>
        <v>0</v>
      </c>
      <c r="M348" s="1458">
        <f>'Part II-Development Team'!M144</f>
        <v>0</v>
      </c>
      <c r="N348" s="1459">
        <f>'Part II-Development Team'!N144</f>
        <v>0</v>
      </c>
      <c r="O348" s="1459"/>
      <c r="P348" s="1459"/>
      <c r="Q348" s="1459"/>
      <c r="R348" s="1459"/>
      <c r="S348" s="1459"/>
    </row>
    <row r="349" spans="1:19" ht="51">
      <c r="A349" s="1412" t="s">
        <v>678</v>
      </c>
      <c r="B349" s="1412"/>
      <c r="C349" s="1412"/>
      <c r="D349" s="1412"/>
      <c r="E349" s="1459" t="str">
        <f>'Part II-Development Team'!E145</f>
        <v>The Benoit Group Development, LLC</v>
      </c>
      <c r="F349" s="1459"/>
      <c r="G349" s="1459"/>
      <c r="H349" s="1459"/>
      <c r="I349" s="1458" t="str">
        <f>'Part II-Development Team'!I145</f>
        <v>No</v>
      </c>
      <c r="J349" s="1458" t="str">
        <f>'Part II-Development Team'!J145</f>
        <v>Yes</v>
      </c>
      <c r="K349" s="1461" t="str">
        <f>'Part II-Development Team'!K145</f>
        <v>For Profit</v>
      </c>
      <c r="L349" s="1462">
        <f>'Part II-Development Team'!L145</f>
        <v>0</v>
      </c>
      <c r="M349" s="1458" t="str">
        <f>'Part II-Development Team'!M145</f>
        <v>No</v>
      </c>
      <c r="N349" s="1459">
        <f>'Part II-Development Team'!N145</f>
        <v>0</v>
      </c>
      <c r="O349" s="1459"/>
      <c r="P349" s="1459"/>
      <c r="Q349" s="1459"/>
      <c r="R349" s="1459"/>
      <c r="S349" s="1459"/>
    </row>
    <row r="350" spans="1:19" ht="12.75" customHeight="1">
      <c r="A350" s="1412" t="s">
        <v>3040</v>
      </c>
      <c r="B350" s="1412"/>
      <c r="C350" s="1412"/>
      <c r="D350" s="1412"/>
      <c r="E350" s="1459" t="str">
        <f>'Part II-Development Team'!E146</f>
        <v>WSCF Development, LLC</v>
      </c>
      <c r="F350" s="1459"/>
      <c r="G350" s="1459"/>
      <c r="H350" s="1459"/>
      <c r="I350" s="1458" t="str">
        <f>'Part II-Development Team'!I146</f>
        <v>No</v>
      </c>
      <c r="J350" s="1458" t="str">
        <f>'Part II-Development Team'!J146</f>
        <v>No</v>
      </c>
      <c r="K350" s="1461" t="str">
        <f>'Part II-Development Team'!K146</f>
        <v>For Profit</v>
      </c>
      <c r="L350" s="1462">
        <f>'Part II-Development Team'!L146</f>
        <v>0</v>
      </c>
      <c r="M350" s="1458" t="str">
        <f>'Part II-Development Team'!M146</f>
        <v>No</v>
      </c>
      <c r="N350" s="1459">
        <f>'Part II-Development Team'!N146</f>
        <v>0</v>
      </c>
      <c r="O350" s="1459"/>
      <c r="P350" s="1459"/>
      <c r="Q350" s="1459"/>
      <c r="R350" s="1459"/>
      <c r="S350" s="1459"/>
    </row>
    <row r="351" spans="1:19" ht="12.75" customHeight="1">
      <c r="A351" s="1412" t="s">
        <v>3041</v>
      </c>
      <c r="B351" s="1412"/>
      <c r="C351" s="1412"/>
      <c r="D351" s="1412"/>
      <c r="E351" s="1459">
        <f>'Part II-Development Team'!E147</f>
        <v>0</v>
      </c>
      <c r="F351" s="1459"/>
      <c r="G351" s="1459"/>
      <c r="H351" s="1459"/>
      <c r="I351" s="1458">
        <f>'Part II-Development Team'!I147</f>
        <v>0</v>
      </c>
      <c r="J351" s="1458">
        <f>'Part II-Development Team'!J147</f>
        <v>0</v>
      </c>
      <c r="K351" s="1461">
        <f>'Part II-Development Team'!K147</f>
        <v>0</v>
      </c>
      <c r="L351" s="1462">
        <f>'Part II-Development Team'!L147</f>
        <v>0</v>
      </c>
      <c r="M351" s="1458">
        <f>'Part II-Development Team'!M147</f>
        <v>0</v>
      </c>
      <c r="N351" s="1459">
        <f>'Part II-Development Team'!N147</f>
        <v>0</v>
      </c>
      <c r="O351" s="1459"/>
      <c r="P351" s="1459"/>
      <c r="Q351" s="1459"/>
      <c r="R351" s="1459"/>
      <c r="S351" s="1459"/>
    </row>
    <row r="352" spans="1:19" ht="12.75" customHeight="1">
      <c r="A352" s="1412" t="s">
        <v>3043</v>
      </c>
      <c r="B352" s="1412"/>
      <c r="C352" s="1412"/>
      <c r="D352" s="1412"/>
      <c r="E352" s="1459">
        <f>'Part II-Development Team'!E148</f>
        <v>0</v>
      </c>
      <c r="F352" s="1459"/>
      <c r="G352" s="1459"/>
      <c r="H352" s="1459"/>
      <c r="I352" s="1458">
        <f>'Part II-Development Team'!I148</f>
        <v>0</v>
      </c>
      <c r="J352" s="1458">
        <f>'Part II-Development Team'!J148</f>
        <v>0</v>
      </c>
      <c r="K352" s="1461">
        <f>'Part II-Development Team'!K148</f>
        <v>0</v>
      </c>
      <c r="L352" s="1462">
        <f>'Part II-Development Team'!L148</f>
        <v>0</v>
      </c>
      <c r="M352" s="1458">
        <f>'Part II-Development Team'!M148</f>
        <v>0</v>
      </c>
      <c r="N352" s="1459">
        <f>'Part II-Development Team'!N148</f>
        <v>0</v>
      </c>
      <c r="O352" s="1459"/>
      <c r="P352" s="1459"/>
      <c r="Q352" s="1459"/>
      <c r="R352" s="1459"/>
      <c r="S352" s="1459"/>
    </row>
    <row r="353" spans="1:19" ht="12.75" customHeight="1">
      <c r="A353" s="1412" t="s">
        <v>3042</v>
      </c>
      <c r="B353" s="1412"/>
      <c r="C353" s="1412"/>
      <c r="D353" s="1412"/>
      <c r="E353" s="1459">
        <f>'Part II-Development Team'!E149</f>
        <v>0</v>
      </c>
      <c r="F353" s="1459"/>
      <c r="G353" s="1459"/>
      <c r="H353" s="1459"/>
      <c r="I353" s="1458">
        <f>'Part II-Development Team'!I149</f>
        <v>0</v>
      </c>
      <c r="J353" s="1458">
        <f>'Part II-Development Team'!J149</f>
        <v>0</v>
      </c>
      <c r="K353" s="1461">
        <f>'Part II-Development Team'!K149</f>
        <v>0</v>
      </c>
      <c r="L353" s="1462">
        <f>'Part II-Development Team'!L149</f>
        <v>0</v>
      </c>
      <c r="M353" s="1458">
        <f>'Part II-Development Team'!M149</f>
        <v>0</v>
      </c>
      <c r="N353" s="1459">
        <f>'Part II-Development Team'!N149</f>
        <v>0</v>
      </c>
      <c r="O353" s="1459"/>
      <c r="P353" s="1459"/>
      <c r="Q353" s="1459"/>
      <c r="R353" s="1459"/>
      <c r="S353" s="1459"/>
    </row>
    <row r="354" spans="1:19">
      <c r="A354" s="1412" t="s">
        <v>1586</v>
      </c>
      <c r="B354" s="1412"/>
      <c r="C354" s="1412"/>
      <c r="D354" s="1412"/>
      <c r="E354" s="1459" t="str">
        <f>'Part II-Development Team'!E150</f>
        <v>JM Wilkinson</v>
      </c>
      <c r="F354" s="1459"/>
      <c r="G354" s="1459"/>
      <c r="H354" s="1459"/>
      <c r="I354" s="1458">
        <f>'Part II-Development Team'!I150</f>
        <v>0</v>
      </c>
      <c r="J354" s="1458">
        <f>'Part II-Development Team'!J150</f>
        <v>0</v>
      </c>
      <c r="K354" s="1461">
        <f>'Part II-Development Team'!K150</f>
        <v>0</v>
      </c>
      <c r="L354" s="1462">
        <f>'Part II-Development Team'!L150</f>
        <v>0</v>
      </c>
      <c r="M354" s="1458">
        <f>'Part II-Development Team'!M150</f>
        <v>0</v>
      </c>
      <c r="N354" s="1459">
        <f>'Part II-Development Team'!N150</f>
        <v>0</v>
      </c>
      <c r="O354" s="1459"/>
      <c r="P354" s="1459"/>
      <c r="Q354" s="1459"/>
      <c r="R354" s="1459"/>
      <c r="S354" s="1459"/>
    </row>
    <row r="355" spans="1:19" ht="12.75" customHeight="1">
      <c r="A355" s="1412" t="s">
        <v>3044</v>
      </c>
      <c r="B355" s="1412"/>
      <c r="C355" s="1412"/>
      <c r="D355" s="1412"/>
      <c r="E355" s="1459" t="str">
        <f>'Part II-Development Team'!E151</f>
        <v>Dorchester Management</v>
      </c>
      <c r="F355" s="1459"/>
      <c r="G355" s="1459"/>
      <c r="H355" s="1459"/>
      <c r="I355" s="1458" t="str">
        <f>'Part II-Development Team'!I151</f>
        <v>No</v>
      </c>
      <c r="J355" s="1458" t="str">
        <f>'Part II-Development Team'!J151</f>
        <v>Yes</v>
      </c>
      <c r="K355" s="1461" t="str">
        <f>'Part II-Development Team'!K151</f>
        <v>For Profit</v>
      </c>
      <c r="L355" s="1462">
        <f>'Part II-Development Team'!L151</f>
        <v>0</v>
      </c>
      <c r="M355" s="1458">
        <f>'Part II-Development Team'!M151</f>
        <v>0</v>
      </c>
      <c r="N355" s="1459">
        <f>'Part II-Development Team'!N151</f>
        <v>0</v>
      </c>
      <c r="O355" s="1459"/>
      <c r="P355" s="1459"/>
      <c r="Q355" s="1459"/>
      <c r="R355" s="1459"/>
      <c r="S355" s="1459"/>
    </row>
    <row r="356" spans="1:19">
      <c r="A356" s="1391"/>
      <c r="B356" s="1391"/>
      <c r="C356" s="1391"/>
      <c r="D356" s="1391"/>
      <c r="E356" s="1391"/>
      <c r="F356" s="1391"/>
      <c r="G356" s="340"/>
      <c r="H356" s="340"/>
      <c r="I356" s="340"/>
      <c r="J356" s="1394"/>
      <c r="K356" s="355" t="s">
        <v>558</v>
      </c>
      <c r="L356" s="1463">
        <f>SUM(L343:S355)</f>
        <v>1</v>
      </c>
      <c r="M356" s="1394"/>
      <c r="N356" s="1391"/>
      <c r="O356" s="1391"/>
      <c r="P356" s="338"/>
      <c r="Q356" s="1391"/>
      <c r="R356" s="1391"/>
      <c r="S356" s="1391"/>
    </row>
    <row r="357" spans="1:19">
      <c r="A357" s="351" t="s">
        <v>1860</v>
      </c>
      <c r="B357" s="354"/>
      <c r="C357" s="351" t="s">
        <v>593</v>
      </c>
      <c r="D357" s="338"/>
      <c r="E357" s="338"/>
      <c r="F357" s="338"/>
      <c r="G357" s="338"/>
      <c r="H357" s="338"/>
      <c r="I357" s="338"/>
      <c r="J357" s="338"/>
      <c r="K357" s="338"/>
      <c r="L357" s="338"/>
      <c r="M357" s="338"/>
      <c r="N357" s="351" t="s">
        <v>549</v>
      </c>
      <c r="O357" s="351" t="s">
        <v>81</v>
      </c>
      <c r="P357" s="338"/>
      <c r="Q357" s="338"/>
      <c r="R357" s="338"/>
      <c r="S357" s="338"/>
    </row>
    <row r="358" spans="1:19" ht="243">
      <c r="A358" s="1452" t="str">
        <f>'Part II-Development Team'!A154</f>
        <v xml:space="preserve">All identities of interest have been described above. There are no instances where a confict of interest occur. The requested org chart has been included in the Performance Workbook in Tab 20 and Tab 21. </v>
      </c>
      <c r="B358" s="1452"/>
      <c r="C358" s="1452"/>
      <c r="D358" s="1452"/>
      <c r="E358" s="1452"/>
      <c r="F358" s="1452"/>
      <c r="G358" s="1452"/>
      <c r="H358" s="1452"/>
      <c r="I358" s="1452"/>
      <c r="J358" s="1452"/>
      <c r="K358" s="1452"/>
      <c r="L358" s="1452"/>
      <c r="M358" s="1452"/>
      <c r="N358" s="1452">
        <f>'Part II-Development Team'!N154</f>
        <v>0</v>
      </c>
      <c r="O358" s="1452"/>
      <c r="P358" s="1452"/>
      <c r="Q358" s="1452"/>
      <c r="R358" s="1452"/>
      <c r="S358" s="1452"/>
    </row>
    <row r="364" spans="1:19">
      <c r="A364" s="340" t="str">
        <f>CONCATENATE("DRAFT PART THREE - SOURCES OF FUNDS","  -  ",'Part I-Project Information'!$O$4," ",'Part I-Project Information'!$F$24,", ",'Part I-Project Information'!$F$28,", ",'Part I-Project Information'!$J$29," County")</f>
        <v>DRAFT PART THREE - SOURCES OF FUNDS  -  2016-524 Wheat Street Tower, Atlanta, Fulton County</v>
      </c>
      <c r="B364" s="340"/>
      <c r="C364" s="340"/>
      <c r="D364" s="340"/>
      <c r="E364" s="340"/>
      <c r="F364" s="340"/>
      <c r="G364" s="340"/>
      <c r="H364" s="340"/>
      <c r="I364" s="340"/>
      <c r="J364" s="340"/>
      <c r="K364" s="340"/>
      <c r="L364" s="340"/>
      <c r="M364" s="340"/>
      <c r="N364" s="340"/>
      <c r="O364" s="340"/>
      <c r="P364" s="340"/>
      <c r="Q364" s="340"/>
    </row>
    <row r="365" spans="1:19">
      <c r="A365" s="338"/>
      <c r="B365" s="338"/>
      <c r="C365" s="338"/>
      <c r="D365" s="338"/>
      <c r="E365" s="338"/>
      <c r="F365" s="338"/>
      <c r="G365" s="338"/>
      <c r="H365" s="338"/>
      <c r="I365" s="338"/>
      <c r="J365" s="338"/>
      <c r="K365" s="338"/>
      <c r="L365" s="338"/>
      <c r="M365" s="338"/>
      <c r="N365" s="338"/>
      <c r="O365" s="338"/>
      <c r="P365" s="338"/>
      <c r="Q365" s="338"/>
    </row>
    <row r="366" spans="1:19" ht="13.5">
      <c r="A366" s="340" t="s">
        <v>640</v>
      </c>
      <c r="B366" s="351" t="s">
        <v>2577</v>
      </c>
      <c r="C366" s="1391"/>
      <c r="D366" s="1391"/>
      <c r="E366" s="1391"/>
      <c r="F366" s="1391"/>
      <c r="G366" s="1391"/>
      <c r="H366" s="1415"/>
      <c r="I366" s="1415"/>
      <c r="J366" s="1391"/>
      <c r="K366" s="1415"/>
      <c r="L366" s="1415"/>
      <c r="M366" s="1391"/>
      <c r="N366" s="1391"/>
      <c r="O366" s="1415"/>
      <c r="P366" s="1415"/>
      <c r="Q366" s="1415"/>
    </row>
    <row r="367" spans="1:19" ht="13.5">
      <c r="A367" s="351"/>
      <c r="B367" s="1174"/>
      <c r="C367" s="351"/>
      <c r="D367" s="1391"/>
      <c r="E367" s="1391"/>
      <c r="F367" s="1391"/>
      <c r="G367" s="1391"/>
      <c r="H367" s="1415"/>
      <c r="I367" s="1415"/>
      <c r="J367" s="1415"/>
      <c r="K367" s="1415"/>
      <c r="L367" s="1415"/>
      <c r="M367" s="1415"/>
      <c r="N367" s="1415"/>
      <c r="O367" s="1415"/>
      <c r="P367" s="1415"/>
      <c r="Q367" s="1415"/>
    </row>
    <row r="368" spans="1:19" ht="13.5">
      <c r="A368" s="1174"/>
      <c r="B368" s="1394">
        <f>'Part III-Sources of Funds'!B5</f>
        <v>0</v>
      </c>
      <c r="C368" s="1386" t="s">
        <v>2495</v>
      </c>
      <c r="D368" s="1391"/>
      <c r="E368" s="1415"/>
      <c r="F368" s="1415"/>
      <c r="G368" s="1415"/>
      <c r="H368" s="1394">
        <f>'Part III-Sources of Funds'!H5</f>
        <v>0</v>
      </c>
      <c r="I368" s="1386" t="s">
        <v>1594</v>
      </c>
      <c r="J368" s="1415"/>
      <c r="K368" s="1415"/>
      <c r="L368" s="1394">
        <f>'Part III-Sources of Funds'!L5</f>
        <v>0</v>
      </c>
      <c r="M368" s="1386" t="s">
        <v>4132</v>
      </c>
      <c r="N368" s="1415"/>
      <c r="O368" s="1415"/>
      <c r="P368" s="1415"/>
      <c r="Q368" s="1415"/>
    </row>
    <row r="369" spans="1:17" ht="13.5">
      <c r="A369" s="1174"/>
      <c r="B369" s="1394">
        <f>'Part III-Sources of Funds'!B6</f>
        <v>0</v>
      </c>
      <c r="C369" s="1386" t="s">
        <v>569</v>
      </c>
      <c r="D369" s="1391"/>
      <c r="E369" s="1415"/>
      <c r="F369" s="1415"/>
      <c r="G369" s="1415"/>
      <c r="H369" s="1394">
        <f>'Part III-Sources of Funds'!H6</f>
        <v>0</v>
      </c>
      <c r="I369" s="1386" t="s">
        <v>568</v>
      </c>
      <c r="J369" s="1415"/>
      <c r="K369" s="1415"/>
      <c r="L369" s="1394">
        <f>'Part III-Sources of Funds'!L6</f>
        <v>0</v>
      </c>
      <c r="M369" s="1386" t="s">
        <v>2697</v>
      </c>
      <c r="N369" s="1415"/>
      <c r="O369" s="1415"/>
      <c r="P369" s="1415"/>
      <c r="Q369" s="362"/>
    </row>
    <row r="370" spans="1:17" ht="13.5">
      <c r="A370" s="1391"/>
      <c r="B370" s="1394">
        <f>'Part III-Sources of Funds'!B7</f>
        <v>0</v>
      </c>
      <c r="C370" s="1386" t="s">
        <v>4104</v>
      </c>
      <c r="D370" s="1415"/>
      <c r="E370" s="1441">
        <f>'Part III-Sources of Funds'!E7</f>
        <v>0</v>
      </c>
      <c r="F370" s="1441"/>
      <c r="G370" s="1415"/>
      <c r="H370" s="1394">
        <f>'Part III-Sources of Funds'!H7</f>
        <v>0</v>
      </c>
      <c r="I370" s="1386" t="s">
        <v>4131</v>
      </c>
      <c r="J370" s="1415"/>
      <c r="K370" s="1415"/>
      <c r="L370" s="1394">
        <f>'Part III-Sources of Funds'!L7</f>
        <v>0</v>
      </c>
      <c r="M370" s="1386" t="s">
        <v>4139</v>
      </c>
      <c r="N370" s="1415"/>
      <c r="O370" s="1415"/>
      <c r="P370" s="1415"/>
      <c r="Q370" s="1415"/>
    </row>
    <row r="371" spans="1:17" ht="13.5">
      <c r="A371" s="1174"/>
      <c r="B371" s="1394">
        <f>'Part III-Sources of Funds'!B8</f>
        <v>0</v>
      </c>
      <c r="C371" s="1386" t="s">
        <v>1870</v>
      </c>
      <c r="D371" s="1391"/>
      <c r="E371" s="1415"/>
      <c r="F371" s="1415"/>
      <c r="G371" s="1415"/>
      <c r="H371" s="1394">
        <f>'Part III-Sources of Funds'!H8</f>
        <v>0</v>
      </c>
      <c r="I371" s="1391" t="s">
        <v>2698</v>
      </c>
      <c r="J371" s="1415"/>
      <c r="K371" s="1415"/>
      <c r="L371" s="1394">
        <f>'Part III-Sources of Funds'!L8</f>
        <v>0</v>
      </c>
      <c r="M371" s="1391" t="s">
        <v>2689</v>
      </c>
      <c r="N371" s="1415"/>
      <c r="O371" s="1415"/>
      <c r="P371" s="1415"/>
      <c r="Q371" s="1415"/>
    </row>
    <row r="372" spans="1:17" ht="13.5">
      <c r="A372" s="1174"/>
      <c r="B372" s="1394">
        <f>'Part III-Sources of Funds'!B9</f>
        <v>0</v>
      </c>
      <c r="C372" s="1386" t="s">
        <v>570</v>
      </c>
      <c r="D372" s="1415"/>
      <c r="E372" s="1415"/>
      <c r="F372" s="1415"/>
      <c r="G372" s="1415"/>
      <c r="H372" s="1394">
        <f>'Part III-Sources of Funds'!H9</f>
        <v>0</v>
      </c>
      <c r="I372" s="1391" t="s">
        <v>2696</v>
      </c>
      <c r="J372" s="1415"/>
      <c r="K372" s="1415"/>
      <c r="L372" s="1394">
        <f>'Part III-Sources of Funds'!L9</f>
        <v>0</v>
      </c>
      <c r="M372" s="353" t="s">
        <v>2690</v>
      </c>
      <c r="N372" s="1415"/>
      <c r="O372" s="1415"/>
      <c r="P372" s="1391"/>
      <c r="Q372" s="1391"/>
    </row>
    <row r="373" spans="1:17" ht="13.5" customHeight="1">
      <c r="A373" s="1174"/>
      <c r="B373" s="1394">
        <f>'Part III-Sources of Funds'!B10</f>
        <v>0</v>
      </c>
      <c r="C373" s="1386" t="s">
        <v>4141</v>
      </c>
      <c r="D373" s="1391"/>
      <c r="E373" s="1441">
        <f>'Part III-Sources of Funds'!E10</f>
        <v>0</v>
      </c>
      <c r="F373" s="1441"/>
      <c r="G373" s="1464"/>
      <c r="H373" s="1394">
        <f>'Part III-Sources of Funds'!H10</f>
        <v>0</v>
      </c>
      <c r="I373" s="1412" t="s">
        <v>2915</v>
      </c>
      <c r="J373" s="1412"/>
      <c r="K373" s="1415"/>
      <c r="L373" s="1394">
        <f>'Part III-Sources of Funds'!L10</f>
        <v>0</v>
      </c>
      <c r="M373" s="1415" t="str">
        <f>'Part III-Sources of Funds'!M10</f>
        <v>Other Type of Funding - describe type/program here</v>
      </c>
      <c r="N373" s="1415"/>
      <c r="O373" s="1415"/>
      <c r="P373" s="1415"/>
      <c r="Q373" s="1415"/>
    </row>
    <row r="374" spans="1:17" ht="13.5">
      <c r="A374" s="1174"/>
      <c r="B374" s="1394">
        <f>'Part III-Sources of Funds'!B11</f>
        <v>0</v>
      </c>
      <c r="C374" s="1386" t="s">
        <v>4137</v>
      </c>
      <c r="D374" s="1415"/>
      <c r="E374" s="1415"/>
      <c r="F374" s="1415"/>
      <c r="G374" s="1415"/>
      <c r="H374" s="1415"/>
      <c r="I374" s="1412"/>
      <c r="J374" s="1412"/>
      <c r="K374" s="1415"/>
      <c r="L374" s="1415"/>
      <c r="M374" s="1415" t="str">
        <f>'Part III-Sources of Funds'!M11</f>
        <v>Specify Administrator of Other Funding Type here</v>
      </c>
      <c r="N374" s="1415"/>
      <c r="O374" s="1415"/>
      <c r="P374" s="1415"/>
      <c r="Q374" s="1415"/>
    </row>
    <row r="375" spans="1:17" ht="13.5">
      <c r="A375" s="1174"/>
      <c r="B375" s="1174"/>
      <c r="C375" s="1415" t="s">
        <v>4138</v>
      </c>
      <c r="D375" s="1415"/>
      <c r="E375" s="1415" t="str">
        <f>'Part III-Sources of Funds'!E12</f>
        <v>Specify Other HOME Source here</v>
      </c>
      <c r="F375" s="1415"/>
      <c r="G375" s="1415"/>
      <c r="H375" s="1415"/>
      <c r="I375" s="1415"/>
      <c r="J375" s="1415"/>
      <c r="K375" s="1415"/>
      <c r="L375" s="1415"/>
      <c r="M375" s="1415"/>
      <c r="N375" s="1415"/>
      <c r="O375" s="1415"/>
      <c r="P375" s="1415"/>
      <c r="Q375" s="1415"/>
    </row>
    <row r="376" spans="1:17" ht="13.5">
      <c r="A376" s="1174"/>
      <c r="B376" s="1415"/>
      <c r="C376" s="1415" t="s">
        <v>4140</v>
      </c>
      <c r="D376" s="1415"/>
      <c r="E376" s="1441">
        <f>'Part III-Sources of Funds'!E13</f>
        <v>0</v>
      </c>
      <c r="F376" s="1441"/>
      <c r="G376" s="1415"/>
      <c r="H376" s="1415"/>
      <c r="I376" s="1415"/>
      <c r="J376" s="1415"/>
      <c r="K376" s="1415"/>
      <c r="L376" s="1415"/>
      <c r="M376" s="1415"/>
      <c r="N376" s="1415"/>
      <c r="O376" s="1415"/>
      <c r="P376" s="1415"/>
      <c r="Q376" s="1391"/>
    </row>
    <row r="377" spans="1:17" ht="13.5">
      <c r="A377" s="1174"/>
      <c r="B377" s="1415" t="s">
        <v>4142</v>
      </c>
      <c r="C377" s="1391"/>
      <c r="D377" s="1391"/>
      <c r="E377" s="1391"/>
      <c r="F377" s="1391"/>
      <c r="G377" s="1391"/>
      <c r="H377" s="1391"/>
      <c r="I377" s="1391"/>
      <c r="J377" s="1391"/>
      <c r="K377" s="1391"/>
      <c r="L377" s="1391"/>
      <c r="M377" s="353"/>
      <c r="N377" s="1391"/>
      <c r="O377" s="1391"/>
      <c r="P377" s="1391"/>
      <c r="Q377" s="1391"/>
    </row>
    <row r="378" spans="1:17" ht="13.5">
      <c r="A378" s="1174"/>
      <c r="B378" s="1415"/>
      <c r="C378" s="1415"/>
      <c r="D378" s="1415"/>
      <c r="E378" s="1415"/>
      <c r="F378" s="1415"/>
      <c r="G378" s="1415"/>
      <c r="H378" s="1415"/>
      <c r="I378" s="1415"/>
      <c r="J378" s="1415"/>
      <c r="K378" s="1415"/>
      <c r="L378" s="1391"/>
      <c r="M378" s="353"/>
      <c r="N378" s="1391"/>
      <c r="O378" s="1391"/>
      <c r="P378" s="1391"/>
      <c r="Q378" s="1391"/>
    </row>
    <row r="379" spans="1:17" ht="13.5">
      <c r="A379" s="340" t="s">
        <v>770</v>
      </c>
      <c r="B379" s="296" t="s">
        <v>2426</v>
      </c>
      <c r="C379" s="1391"/>
      <c r="D379" s="1391"/>
      <c r="E379" s="1391"/>
      <c r="F379" s="1391"/>
      <c r="G379" s="1391"/>
      <c r="H379" s="1415"/>
      <c r="I379" s="1415"/>
      <c r="J379" s="340"/>
      <c r="K379" s="1391"/>
      <c r="L379" s="1391"/>
      <c r="M379" s="1391"/>
      <c r="N379" s="1391"/>
      <c r="O379" s="1391"/>
      <c r="P379" s="1391"/>
      <c r="Q379" s="1391"/>
    </row>
    <row r="380" spans="1:17" ht="13.5">
      <c r="A380" s="340"/>
      <c r="B380" s="296"/>
      <c r="C380" s="1391"/>
      <c r="D380" s="370"/>
      <c r="E380" s="370"/>
      <c r="F380" s="370"/>
      <c r="G380" s="370"/>
      <c r="H380" s="370"/>
      <c r="I380" s="370"/>
      <c r="J380" s="370"/>
      <c r="K380" s="1391"/>
      <c r="L380" s="1391"/>
      <c r="M380" s="1391"/>
      <c r="N380" s="1394"/>
      <c r="O380" s="1394"/>
      <c r="P380" s="1391"/>
      <c r="Q380" s="1391"/>
    </row>
    <row r="381" spans="1:17">
      <c r="A381" s="1391"/>
      <c r="B381" s="1386" t="s">
        <v>1942</v>
      </c>
      <c r="C381" s="1391"/>
      <c r="D381" s="1391"/>
      <c r="E381" s="1391"/>
      <c r="F381" s="1391"/>
      <c r="G381" s="1391"/>
      <c r="H381" s="1391" t="s">
        <v>1346</v>
      </c>
      <c r="I381" s="1391"/>
      <c r="J381" s="1391"/>
      <c r="K381" s="1391"/>
      <c r="L381" s="1391" t="s">
        <v>2066</v>
      </c>
      <c r="M381" s="1391"/>
      <c r="N381" s="1391" t="s">
        <v>1564</v>
      </c>
      <c r="O381" s="1391"/>
      <c r="P381" s="1391" t="s">
        <v>1689</v>
      </c>
      <c r="Q381" s="1391"/>
    </row>
    <row r="382" spans="1:17">
      <c r="A382" s="1391"/>
      <c r="B382" s="1391" t="s">
        <v>1648</v>
      </c>
      <c r="C382" s="1391"/>
      <c r="D382" s="1391"/>
      <c r="E382" s="1391"/>
      <c r="F382" s="1391"/>
      <c r="G382" s="1391"/>
      <c r="H382" s="1391" t="str">
        <f>'Part III-Sources of Funds'!H19</f>
        <v>Prudential</v>
      </c>
      <c r="I382" s="1391"/>
      <c r="J382" s="1391"/>
      <c r="K382" s="1391"/>
      <c r="L382" s="1424">
        <f>'Part III-Sources of Funds'!L19</f>
        <v>11317799</v>
      </c>
      <c r="M382" s="1424"/>
      <c r="N382" s="1393">
        <f>'Part III-Sources of Funds'!N19</f>
        <v>0.04</v>
      </c>
      <c r="O382" s="1393"/>
      <c r="P382" s="1465">
        <f>'Part III-Sources of Funds'!P19</f>
        <v>24</v>
      </c>
      <c r="Q382" s="1465"/>
    </row>
    <row r="383" spans="1:17">
      <c r="A383" s="1391"/>
      <c r="B383" s="1391" t="s">
        <v>1649</v>
      </c>
      <c r="C383" s="1391"/>
      <c r="D383" s="1391"/>
      <c r="E383" s="1391"/>
      <c r="F383" s="1391"/>
      <c r="G383" s="1391"/>
      <c r="H383" s="1391">
        <f>'Part III-Sources of Funds'!H20</f>
        <v>0</v>
      </c>
      <c r="I383" s="1391"/>
      <c r="J383" s="1391"/>
      <c r="K383" s="1391"/>
      <c r="L383" s="1424">
        <f>'Part III-Sources of Funds'!L20</f>
        <v>0</v>
      </c>
      <c r="M383" s="1424"/>
      <c r="N383" s="1393">
        <f>'Part III-Sources of Funds'!N20</f>
        <v>0</v>
      </c>
      <c r="O383" s="1393"/>
      <c r="P383" s="1465">
        <f>'Part III-Sources of Funds'!P20</f>
        <v>0</v>
      </c>
      <c r="Q383" s="1465"/>
    </row>
    <row r="384" spans="1:17">
      <c r="A384" s="1391"/>
      <c r="B384" s="1391" t="s">
        <v>1650</v>
      </c>
      <c r="C384" s="1391"/>
      <c r="D384" s="1391"/>
      <c r="E384" s="1391"/>
      <c r="F384" s="1391"/>
      <c r="G384" s="1391"/>
      <c r="H384" s="1391">
        <f>'Part III-Sources of Funds'!H21</f>
        <v>0</v>
      </c>
      <c r="I384" s="1391"/>
      <c r="J384" s="1391"/>
      <c r="K384" s="1391"/>
      <c r="L384" s="1424">
        <f>'Part III-Sources of Funds'!L21</f>
        <v>0</v>
      </c>
      <c r="M384" s="1424"/>
      <c r="N384" s="1393">
        <f>'Part III-Sources of Funds'!N21</f>
        <v>0</v>
      </c>
      <c r="O384" s="1393"/>
      <c r="P384" s="1465">
        <f>'Part III-Sources of Funds'!P21</f>
        <v>0</v>
      </c>
      <c r="Q384" s="1465"/>
    </row>
    <row r="385" spans="1:17">
      <c r="A385" s="1391"/>
      <c r="B385" s="1391" t="s">
        <v>2294</v>
      </c>
      <c r="C385" s="1391"/>
      <c r="D385" s="1391"/>
      <c r="E385" s="1391"/>
      <c r="F385" s="1391"/>
      <c r="G385" s="1391"/>
      <c r="H385" s="1391">
        <f>'Part III-Sources of Funds'!H22</f>
        <v>0</v>
      </c>
      <c r="I385" s="1391"/>
      <c r="J385" s="1391"/>
      <c r="K385" s="1391"/>
      <c r="L385" s="1424">
        <f>'Part III-Sources of Funds'!L22</f>
        <v>0</v>
      </c>
      <c r="M385" s="1424"/>
      <c r="N385" s="1393"/>
      <c r="O385" s="1393"/>
      <c r="P385" s="1391"/>
      <c r="Q385" s="1391"/>
    </row>
    <row r="386" spans="1:17" ht="13.5">
      <c r="A386" s="1391"/>
      <c r="B386" s="1391" t="s">
        <v>833</v>
      </c>
      <c r="C386" s="1391"/>
      <c r="D386" s="1391"/>
      <c r="E386" s="1391"/>
      <c r="F386" s="1415"/>
      <c r="G386" s="1415"/>
      <c r="H386" s="1391">
        <f>'Part III-Sources of Funds'!H23</f>
        <v>0</v>
      </c>
      <c r="I386" s="1391"/>
      <c r="J386" s="1391"/>
      <c r="K386" s="1391"/>
      <c r="L386" s="1424">
        <f>'Part III-Sources of Funds'!L23</f>
        <v>0</v>
      </c>
      <c r="M386" s="1424"/>
      <c r="N386" s="1393"/>
      <c r="O386" s="1393"/>
      <c r="P386" s="1391"/>
      <c r="Q386" s="1391"/>
    </row>
    <row r="387" spans="1:17" ht="13.5">
      <c r="A387" s="1391"/>
      <c r="B387" s="1391" t="s">
        <v>665</v>
      </c>
      <c r="C387" s="1391"/>
      <c r="D387" s="1391"/>
      <c r="E387" s="1391"/>
      <c r="F387" s="1415"/>
      <c r="G387" s="1415"/>
      <c r="H387" s="1391">
        <f>'Part III-Sources of Funds'!H24</f>
        <v>0</v>
      </c>
      <c r="I387" s="1391"/>
      <c r="J387" s="1391"/>
      <c r="K387" s="1391"/>
      <c r="L387" s="1424">
        <f>'Part III-Sources of Funds'!L24</f>
        <v>0</v>
      </c>
      <c r="M387" s="1424"/>
      <c r="N387" s="1393"/>
      <c r="O387" s="1393"/>
      <c r="P387" s="1391"/>
      <c r="Q387" s="1391"/>
    </row>
    <row r="388" spans="1:17" ht="13.5">
      <c r="A388" s="1391"/>
      <c r="B388" s="1391" t="s">
        <v>834</v>
      </c>
      <c r="C388" s="1391"/>
      <c r="D388" s="1391"/>
      <c r="E388" s="1391"/>
      <c r="F388" s="1415"/>
      <c r="G388" s="1415"/>
      <c r="H388" s="1391" t="str">
        <f>'Part III-Sources of Funds'!H25</f>
        <v>NDC</v>
      </c>
      <c r="I388" s="1391"/>
      <c r="J388" s="1391"/>
      <c r="K388" s="1391"/>
      <c r="L388" s="1424">
        <f>'Part III-Sources of Funds'!L25</f>
        <v>5482120.5999999996</v>
      </c>
      <c r="M388" s="1424"/>
      <c r="N388" s="1391"/>
      <c r="O388" s="1391"/>
      <c r="P388" s="1391"/>
      <c r="Q388" s="1391"/>
    </row>
    <row r="389" spans="1:17" ht="13.5">
      <c r="A389" s="1391"/>
      <c r="B389" s="1391" t="s">
        <v>835</v>
      </c>
      <c r="C389" s="1391"/>
      <c r="D389" s="1391"/>
      <c r="E389" s="1391"/>
      <c r="F389" s="1415"/>
      <c r="G389" s="1415"/>
      <c r="H389" s="1391" t="str">
        <f>'Part III-Sources of Funds'!H26</f>
        <v>Sugar Creek</v>
      </c>
      <c r="I389" s="1391"/>
      <c r="J389" s="1391"/>
      <c r="K389" s="1391"/>
      <c r="L389" s="1424">
        <f>'Part III-Sources of Funds'!L26</f>
        <v>3023972.5</v>
      </c>
      <c r="M389" s="1424"/>
      <c r="N389" s="1391"/>
      <c r="O389" s="1415"/>
      <c r="P389" s="1415"/>
      <c r="Q389" s="1391"/>
    </row>
    <row r="390" spans="1:17" ht="13.5">
      <c r="A390" s="1391"/>
      <c r="B390" s="1391" t="s">
        <v>253</v>
      </c>
      <c r="C390" s="1391"/>
      <c r="D390" s="1391">
        <f>'Part III-Sources of Funds'!D27</f>
        <v>0</v>
      </c>
      <c r="E390" s="1391"/>
      <c r="F390" s="1391"/>
      <c r="G390" s="1391"/>
      <c r="H390" s="1391">
        <f>'Part III-Sources of Funds'!H27</f>
        <v>0</v>
      </c>
      <c r="I390" s="1391"/>
      <c r="J390" s="1391"/>
      <c r="K390" s="1391"/>
      <c r="L390" s="1424">
        <f>'Part III-Sources of Funds'!L27</f>
        <v>0</v>
      </c>
      <c r="M390" s="1424"/>
      <c r="N390" s="1391"/>
      <c r="O390" s="1415"/>
      <c r="P390" s="1415"/>
      <c r="Q390" s="1391"/>
    </row>
    <row r="391" spans="1:17" ht="13.5">
      <c r="A391" s="1391"/>
      <c r="B391" s="1391" t="s">
        <v>253</v>
      </c>
      <c r="C391" s="1391"/>
      <c r="D391" s="1391">
        <f>'Part III-Sources of Funds'!D28</f>
        <v>0</v>
      </c>
      <c r="E391" s="1391"/>
      <c r="F391" s="1391"/>
      <c r="G391" s="1391"/>
      <c r="H391" s="1391">
        <f>'Part III-Sources of Funds'!H28</f>
        <v>0</v>
      </c>
      <c r="I391" s="1391"/>
      <c r="J391" s="1391"/>
      <c r="K391" s="1391"/>
      <c r="L391" s="1424">
        <f>'Part III-Sources of Funds'!L28</f>
        <v>0</v>
      </c>
      <c r="M391" s="1424"/>
      <c r="N391" s="1391"/>
      <c r="O391" s="1415"/>
      <c r="P391" s="1415"/>
      <c r="Q391" s="1415"/>
    </row>
    <row r="392" spans="1:17" ht="13.5">
      <c r="A392" s="1391"/>
      <c r="B392" s="1391" t="s">
        <v>253</v>
      </c>
      <c r="C392" s="1391"/>
      <c r="D392" s="1391">
        <f>'Part III-Sources of Funds'!D29</f>
        <v>0</v>
      </c>
      <c r="E392" s="1391"/>
      <c r="F392" s="1391"/>
      <c r="G392" s="1391"/>
      <c r="H392" s="1391">
        <f>'Part III-Sources of Funds'!H29</f>
        <v>0</v>
      </c>
      <c r="I392" s="1391"/>
      <c r="J392" s="1391"/>
      <c r="K392" s="1391"/>
      <c r="L392" s="1424">
        <f>'Part III-Sources of Funds'!L29</f>
        <v>0</v>
      </c>
      <c r="M392" s="1424"/>
      <c r="N392" s="1391"/>
      <c r="O392" s="1415"/>
      <c r="P392" s="1415"/>
      <c r="Q392" s="1415"/>
    </row>
    <row r="393" spans="1:17" ht="13.5">
      <c r="A393" s="1391"/>
      <c r="B393" s="296" t="s">
        <v>1347</v>
      </c>
      <c r="C393" s="1391"/>
      <c r="D393" s="1391"/>
      <c r="E393" s="1391"/>
      <c r="F393" s="1391"/>
      <c r="G393" s="1391"/>
      <c r="H393" s="1391"/>
      <c r="I393" s="1391"/>
      <c r="J393" s="1415"/>
      <c r="K393" s="1415"/>
      <c r="L393" s="1466">
        <f>SUM(L382:L392)</f>
        <v>19823892.100000001</v>
      </c>
      <c r="M393" s="1466"/>
      <c r="N393" s="338"/>
      <c r="O393" s="1415"/>
      <c r="P393" s="1415"/>
      <c r="Q393" s="1415"/>
    </row>
    <row r="394" spans="1:17" ht="13.5">
      <c r="A394" s="1391"/>
      <c r="B394" s="1386" t="s">
        <v>1348</v>
      </c>
      <c r="C394" s="1391"/>
      <c r="D394" s="1391"/>
      <c r="E394" s="1391"/>
      <c r="F394" s="1391"/>
      <c r="G394" s="1391"/>
      <c r="H394" s="1391"/>
      <c r="I394" s="1391"/>
      <c r="J394" s="1415"/>
      <c r="K394" s="1415"/>
      <c r="L394" s="1466">
        <f ca="1">'Part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19823892.574578471</v>
      </c>
      <c r="M394" s="1466"/>
      <c r="N394" s="1442"/>
      <c r="O394" s="1415"/>
      <c r="P394" s="1415"/>
      <c r="Q394" s="1415"/>
    </row>
    <row r="395" spans="1:17" ht="13.5">
      <c r="A395" s="1391"/>
      <c r="B395" s="1386" t="s">
        <v>2235</v>
      </c>
      <c r="C395" s="1391"/>
      <c r="D395" s="1391"/>
      <c r="E395" s="1391"/>
      <c r="F395" s="1391"/>
      <c r="G395" s="1391"/>
      <c r="H395" s="1391"/>
      <c r="I395" s="1391"/>
      <c r="J395" s="1415"/>
      <c r="K395" s="1415"/>
      <c r="L395" s="1467">
        <f ca="1">L393-L394</f>
        <v>-0.47457846999168396</v>
      </c>
      <c r="M395" s="1467"/>
      <c r="N395" s="1442"/>
      <c r="O395" s="1415"/>
      <c r="P395" s="1415"/>
      <c r="Q395" s="1415"/>
    </row>
    <row r="396" spans="1:17" ht="13.5">
      <c r="A396" s="351"/>
      <c r="B396" s="296"/>
      <c r="C396" s="338"/>
      <c r="D396" s="338"/>
      <c r="E396" s="338"/>
      <c r="F396" s="338"/>
      <c r="G396" s="338"/>
      <c r="H396" s="338"/>
      <c r="I396" s="338"/>
      <c r="J396" s="338"/>
      <c r="K396" s="338"/>
      <c r="L396" s="338"/>
      <c r="M396" s="1394"/>
      <c r="N396" s="1394"/>
      <c r="O396" s="1468"/>
      <c r="P396" s="1468"/>
      <c r="Q396" s="1468"/>
    </row>
    <row r="397" spans="1:17" ht="13.5">
      <c r="A397" s="340" t="s">
        <v>772</v>
      </c>
      <c r="B397" s="296" t="s">
        <v>832</v>
      </c>
      <c r="C397" s="338"/>
      <c r="D397" s="338"/>
      <c r="E397" s="338"/>
      <c r="F397" s="338"/>
      <c r="G397" s="338"/>
      <c r="H397" s="338"/>
      <c r="I397" s="338"/>
      <c r="J397" s="338"/>
      <c r="K397" s="338"/>
      <c r="L397" s="338"/>
      <c r="M397" s="1394"/>
      <c r="N397" s="1394"/>
      <c r="O397" s="338"/>
      <c r="P397" s="1468"/>
      <c r="Q397" s="1468"/>
    </row>
    <row r="398" spans="1:17" ht="13.5" customHeight="1">
      <c r="A398" s="1391"/>
      <c r="B398" s="1391"/>
      <c r="C398" s="1391"/>
      <c r="D398" s="1391"/>
      <c r="E398" s="1391"/>
      <c r="F398" s="1394"/>
      <c r="G398" s="1394"/>
      <c r="H398" s="1391"/>
      <c r="I398" s="1391"/>
      <c r="J398" s="1415"/>
      <c r="K398" s="346" t="s">
        <v>2177</v>
      </c>
      <c r="L398" s="1394" t="s">
        <v>1344</v>
      </c>
      <c r="M398" s="1394" t="s">
        <v>1349</v>
      </c>
      <c r="N398" s="1442" t="s">
        <v>36</v>
      </c>
      <c r="O398" s="1442"/>
      <c r="P398" s="1394"/>
      <c r="Q398" s="340"/>
    </row>
    <row r="399" spans="1:17">
      <c r="A399" s="1391"/>
      <c r="B399" s="1386" t="s">
        <v>1942</v>
      </c>
      <c r="C399" s="1391"/>
      <c r="D399" s="1391"/>
      <c r="E399" s="1391" t="s">
        <v>1346</v>
      </c>
      <c r="F399" s="1391"/>
      <c r="G399" s="1391"/>
      <c r="H399" s="1391"/>
      <c r="I399" s="1391" t="s">
        <v>506</v>
      </c>
      <c r="J399" s="1391"/>
      <c r="K399" s="1394" t="s">
        <v>1874</v>
      </c>
      <c r="L399" s="1394" t="s">
        <v>2293</v>
      </c>
      <c r="M399" s="1394" t="s">
        <v>2293</v>
      </c>
      <c r="N399" s="1442"/>
      <c r="O399" s="1442"/>
      <c r="P399" s="1391" t="s">
        <v>76</v>
      </c>
      <c r="Q399" s="1391"/>
    </row>
    <row r="400" spans="1:17">
      <c r="A400" s="1391"/>
      <c r="B400" s="1391" t="s">
        <v>2702</v>
      </c>
      <c r="C400" s="1391"/>
      <c r="D400" s="1391"/>
      <c r="E400" s="1391" t="str">
        <f>'Part III-Sources of Funds'!E37</f>
        <v>Prudential</v>
      </c>
      <c r="F400" s="1391"/>
      <c r="G400" s="1391"/>
      <c r="H400" s="1391"/>
      <c r="I400" s="1429">
        <f>'Part III-Sources of Funds'!I37</f>
        <v>11500000</v>
      </c>
      <c r="J400" s="1391"/>
      <c r="K400" s="1469">
        <f>'Part III-Sources of Funds'!K37</f>
        <v>0.04</v>
      </c>
      <c r="L400" s="1394">
        <f>'Part III-Sources of Funds'!L37</f>
        <v>40</v>
      </c>
      <c r="M400" s="1394">
        <f>'Part III-Sources of Funds'!M37</f>
        <v>40</v>
      </c>
      <c r="N400" s="1470">
        <f>'Part III-Sources of Funds'!N37</f>
        <v>576755.08777726337</v>
      </c>
      <c r="O400" s="1470"/>
      <c r="P400" s="1391" t="str">
        <f>'Part III-Sources of Funds'!P37</f>
        <v>Amortizing</v>
      </c>
      <c r="Q400" s="1391"/>
    </row>
    <row r="401" spans="1:17">
      <c r="A401" s="1391"/>
      <c r="B401" s="1391" t="s">
        <v>2703</v>
      </c>
      <c r="C401" s="1391"/>
      <c r="D401" s="1391"/>
      <c r="E401" s="1391">
        <f>'Part III-Sources of Funds'!E38</f>
        <v>0</v>
      </c>
      <c r="F401" s="1391"/>
      <c r="G401" s="1391"/>
      <c r="H401" s="1391"/>
      <c r="I401" s="1429">
        <f>'Part III-Sources of Funds'!I38</f>
        <v>0</v>
      </c>
      <c r="J401" s="1391"/>
      <c r="K401" s="1469">
        <f>'Part III-Sources of Funds'!K38</f>
        <v>0</v>
      </c>
      <c r="L401" s="1394">
        <f>'Part III-Sources of Funds'!L38</f>
        <v>0</v>
      </c>
      <c r="M401" s="1394">
        <f>'Part III-Sources of Funds'!M38</f>
        <v>0</v>
      </c>
      <c r="N401" s="1470" t="str">
        <f>'Part III-Sources of Funds'!N38</f>
        <v/>
      </c>
      <c r="O401" s="1470"/>
      <c r="P401" s="1391">
        <f>'Part III-Sources of Funds'!P38</f>
        <v>0</v>
      </c>
      <c r="Q401" s="1391"/>
    </row>
    <row r="402" spans="1:17">
      <c r="A402" s="1391"/>
      <c r="B402" s="1391" t="s">
        <v>2704</v>
      </c>
      <c r="C402" s="1391"/>
      <c r="D402" s="1391"/>
      <c r="E402" s="1391">
        <f>'Part III-Sources of Funds'!E39</f>
        <v>0</v>
      </c>
      <c r="F402" s="1391"/>
      <c r="G402" s="1391"/>
      <c r="H402" s="1391"/>
      <c r="I402" s="1429">
        <f>'Part III-Sources of Funds'!I39</f>
        <v>0</v>
      </c>
      <c r="J402" s="1391"/>
      <c r="K402" s="1469">
        <f>'Part III-Sources of Funds'!K39</f>
        <v>0</v>
      </c>
      <c r="L402" s="1394">
        <f>'Part III-Sources of Funds'!L39</f>
        <v>0</v>
      </c>
      <c r="M402" s="1394">
        <f>'Part III-Sources of Funds'!M39</f>
        <v>0</v>
      </c>
      <c r="N402" s="1470" t="str">
        <f>'Part III-Sources of Funds'!N39</f>
        <v/>
      </c>
      <c r="O402" s="1470"/>
      <c r="P402" s="1391">
        <f>'Part III-Sources of Funds'!P39</f>
        <v>0</v>
      </c>
      <c r="Q402" s="1391"/>
    </row>
    <row r="403" spans="1:17">
      <c r="A403" s="1391"/>
      <c r="B403" s="1391" t="s">
        <v>771</v>
      </c>
      <c r="C403" s="1391">
        <f>'Part III-Sources of Funds'!C40</f>
        <v>0</v>
      </c>
      <c r="D403" s="1391"/>
      <c r="E403" s="1391">
        <f>'Part III-Sources of Funds'!E40</f>
        <v>0</v>
      </c>
      <c r="F403" s="1391"/>
      <c r="G403" s="1391"/>
      <c r="H403" s="1391"/>
      <c r="I403" s="1429">
        <f>'Part III-Sources of Funds'!I40</f>
        <v>0</v>
      </c>
      <c r="J403" s="1391"/>
      <c r="K403" s="1469">
        <f>'Part III-Sources of Funds'!K40</f>
        <v>0</v>
      </c>
      <c r="L403" s="1394">
        <f>'Part III-Sources of Funds'!L40</f>
        <v>0</v>
      </c>
      <c r="M403" s="1394">
        <f>'Part III-Sources of Funds'!M40</f>
        <v>0</v>
      </c>
      <c r="N403" s="1470" t="str">
        <f>'Part III-Sources of Funds'!N40</f>
        <v/>
      </c>
      <c r="O403" s="1470"/>
      <c r="P403" s="1391">
        <f>'Part III-Sources of Funds'!P40</f>
        <v>0</v>
      </c>
      <c r="Q403" s="1391"/>
    </row>
    <row r="404" spans="1:17">
      <c r="A404" s="1391"/>
      <c r="B404" s="1391" t="s">
        <v>2865</v>
      </c>
      <c r="C404" s="1391"/>
      <c r="D404" s="1391"/>
      <c r="E404" s="1391">
        <f>'Part III-Sources of Funds'!E41</f>
        <v>0</v>
      </c>
      <c r="F404" s="1391"/>
      <c r="G404" s="1391"/>
      <c r="H404" s="1391"/>
      <c r="I404" s="1429">
        <f>'Part III-Sources of Funds'!I41</f>
        <v>0</v>
      </c>
      <c r="J404" s="1391"/>
      <c r="K404" s="1469"/>
      <c r="L404" s="1394"/>
      <c r="M404" s="1394"/>
      <c r="N404" s="1470" t="str">
        <f>IF(OR(I404&lt;=0,I404=""),"",IF(P404="Amortizing",-PMT(K404/12,M404*12,I404,0,0)*12,""))</f>
        <v/>
      </c>
      <c r="O404" s="1470"/>
      <c r="P404" s="1391"/>
      <c r="Q404" s="1391"/>
    </row>
    <row r="405" spans="1:17">
      <c r="A405" s="1391"/>
      <c r="B405" s="1391" t="s">
        <v>237</v>
      </c>
      <c r="C405" s="1391"/>
      <c r="D405" s="1471">
        <f>'Part III-Sources of Funds'!D42</f>
        <v>4.7232000000000003E-3</v>
      </c>
      <c r="E405" s="1391" t="str">
        <f>'Part III-Sources of Funds'!E42</f>
        <v>Wheat Street Senior LP</v>
      </c>
      <c r="F405" s="1391"/>
      <c r="G405" s="1391"/>
      <c r="H405" s="1391"/>
      <c r="I405" s="1429">
        <f>'Part III-Sources of Funds'!I42</f>
        <v>11808</v>
      </c>
      <c r="J405" s="1391"/>
      <c r="K405" s="1469">
        <f>'Part III-Sources of Funds'!K42</f>
        <v>0</v>
      </c>
      <c r="L405" s="1394">
        <f>'Part III-Sources of Funds'!L42</f>
        <v>0</v>
      </c>
      <c r="M405" s="1394">
        <f>'Part III-Sources of Funds'!M42</f>
        <v>0</v>
      </c>
      <c r="N405" s="1470" t="str">
        <f>'Part III-Sources of Funds'!N42</f>
        <v/>
      </c>
      <c r="O405" s="1470"/>
      <c r="P405" s="1391">
        <f>'Part III-Sources of Funds'!P42</f>
        <v>0</v>
      </c>
      <c r="Q405" s="1391"/>
    </row>
    <row r="406" spans="1:17">
      <c r="A406" s="1391"/>
      <c r="B406" s="1391" t="s">
        <v>2294</v>
      </c>
      <c r="C406" s="1391"/>
      <c r="D406" s="1391"/>
      <c r="E406" s="1391">
        <f>'Part III-Sources of Funds'!E43</f>
        <v>0</v>
      </c>
      <c r="F406" s="1391"/>
      <c r="G406" s="1391"/>
      <c r="H406" s="1391"/>
      <c r="I406" s="1429">
        <f>'Part III-Sources of Funds'!I43</f>
        <v>0</v>
      </c>
      <c r="J406" s="1391"/>
      <c r="K406" s="1391"/>
      <c r="L406" s="1391"/>
      <c r="M406" s="1391"/>
      <c r="N406" s="1391"/>
      <c r="O406" s="1391"/>
      <c r="P406" s="1391"/>
      <c r="Q406" s="1391"/>
    </row>
    <row r="407" spans="1:17" ht="13.5">
      <c r="A407" s="1391"/>
      <c r="B407" s="1391" t="s">
        <v>833</v>
      </c>
      <c r="C407" s="1391"/>
      <c r="D407" s="1391"/>
      <c r="E407" s="1391">
        <f>'Part III-Sources of Funds'!E44</f>
        <v>0</v>
      </c>
      <c r="F407" s="1391"/>
      <c r="G407" s="1391"/>
      <c r="H407" s="1391"/>
      <c r="I407" s="1429">
        <f>'Part III-Sources of Funds'!I44</f>
        <v>0</v>
      </c>
      <c r="J407" s="1391"/>
      <c r="K407" s="1415"/>
      <c r="L407" s="1472" t="s">
        <v>536</v>
      </c>
      <c r="M407" s="1472"/>
      <c r="N407" s="1473" t="s">
        <v>537</v>
      </c>
      <c r="O407" s="1473"/>
      <c r="P407" s="1394" t="s">
        <v>535</v>
      </c>
      <c r="Q407" s="1391"/>
    </row>
    <row r="408" spans="1:17" ht="13.5">
      <c r="A408" s="1391"/>
      <c r="B408" s="1391" t="s">
        <v>834</v>
      </c>
      <c r="C408" s="1391"/>
      <c r="D408" s="1391"/>
      <c r="E408" s="1391" t="str">
        <f>'Part III-Sources of Funds'!E45</f>
        <v>NDC</v>
      </c>
      <c r="F408" s="1391"/>
      <c r="G408" s="1391"/>
      <c r="H408" s="1391"/>
      <c r="I408" s="1429">
        <f>'Part III-Sources of Funds'!I45</f>
        <v>8842130</v>
      </c>
      <c r="J408" s="1391"/>
      <c r="K408" s="1415"/>
      <c r="L408" s="1474">
        <f ca="1">'Part IV-Uses of Funds'!$J$174*10*'Part IV-Uses of Funds'!$N$167</f>
        <v>8858911.8223086912</v>
      </c>
      <c r="M408" s="1474"/>
      <c r="N408" s="1475">
        <f ca="1">I408-L408</f>
        <v>-16781.822308691218</v>
      </c>
      <c r="O408" s="1475"/>
      <c r="P408" s="1392" t="s">
        <v>2648</v>
      </c>
      <c r="Q408" s="1391"/>
    </row>
    <row r="409" spans="1:17" ht="13.5">
      <c r="A409" s="1391"/>
      <c r="B409" s="1391" t="s">
        <v>835</v>
      </c>
      <c r="C409" s="1391"/>
      <c r="D409" s="1391"/>
      <c r="E409" s="1391" t="str">
        <f>'Part III-Sources of Funds'!E46</f>
        <v>Sugar Creek</v>
      </c>
      <c r="F409" s="1391"/>
      <c r="G409" s="1391"/>
      <c r="H409" s="1391"/>
      <c r="I409" s="1429">
        <f>'Part III-Sources of Funds'!I46</f>
        <v>4877375</v>
      </c>
      <c r="J409" s="1391"/>
      <c r="K409" s="1415"/>
      <c r="L409" s="1474">
        <f ca="1">'Part IV-Uses of Funds'!$J$174*10*'Part IV-Uses of Funds'!$Q$167</f>
        <v>4872401.5022697803</v>
      </c>
      <c r="M409" s="1474"/>
      <c r="N409" s="1475">
        <f ca="1">I409-L409</f>
        <v>4973.4977302197367</v>
      </c>
      <c r="O409" s="1475"/>
      <c r="P409" s="450">
        <f ca="1">I408/I418</f>
        <v>0.35044271720040249</v>
      </c>
      <c r="Q409" s="1391"/>
    </row>
    <row r="410" spans="1:17" ht="13.5">
      <c r="A410" s="1391"/>
      <c r="B410" s="1391" t="s">
        <v>1464</v>
      </c>
      <c r="C410" s="1391"/>
      <c r="D410" s="1391"/>
      <c r="E410" s="1391">
        <f>'Part III-Sources of Funds'!E47</f>
        <v>0</v>
      </c>
      <c r="F410" s="1391"/>
      <c r="G410" s="1391"/>
      <c r="H410" s="1391"/>
      <c r="I410" s="1429">
        <f>'Part III-Sources of Funds'!I47</f>
        <v>0</v>
      </c>
      <c r="J410" s="1391"/>
      <c r="K410" s="1415"/>
      <c r="L410" s="1415"/>
      <c r="M410" s="1415"/>
      <c r="N410" s="1415"/>
      <c r="O410" s="1415"/>
      <c r="P410" s="450">
        <f ca="1">I409/I418</f>
        <v>0.19330642591833788</v>
      </c>
      <c r="Q410" s="1391"/>
    </row>
    <row r="411" spans="1:17" ht="13.5">
      <c r="A411" s="1391"/>
      <c r="B411" s="1391" t="s">
        <v>550</v>
      </c>
      <c r="C411" s="1391"/>
      <c r="D411" s="1391"/>
      <c r="E411" s="1391">
        <f>'Part III-Sources of Funds'!E48</f>
        <v>0</v>
      </c>
      <c r="F411" s="1391"/>
      <c r="G411" s="1391"/>
      <c r="H411" s="1391"/>
      <c r="I411" s="1429">
        <f>'Part III-Sources of Funds'!I48</f>
        <v>0</v>
      </c>
      <c r="J411" s="1391"/>
      <c r="K411" s="1391"/>
      <c r="L411" s="1415"/>
      <c r="M411" s="1415"/>
      <c r="N411" s="1415"/>
      <c r="O411" s="1415"/>
      <c r="P411" s="450">
        <f ca="1">SUM(P409:P410)</f>
        <v>0.54374914311874034</v>
      </c>
      <c r="Q411" s="1391"/>
    </row>
    <row r="412" spans="1:17" ht="13.5">
      <c r="A412" s="1391"/>
      <c r="B412" s="1391" t="s">
        <v>1940</v>
      </c>
      <c r="C412" s="1391"/>
      <c r="D412" s="1391"/>
      <c r="E412" s="1391">
        <f>'Part III-Sources of Funds'!E49</f>
        <v>0</v>
      </c>
      <c r="F412" s="1391"/>
      <c r="G412" s="1391"/>
      <c r="H412" s="1391"/>
      <c r="I412" s="1429">
        <f>'Part III-Sources of Funds'!I49</f>
        <v>0</v>
      </c>
      <c r="J412" s="1391"/>
      <c r="K412" s="1415"/>
      <c r="L412" s="1415"/>
      <c r="M412" s="1415"/>
      <c r="N412" s="409"/>
      <c r="O412" s="409"/>
      <c r="P412" s="409"/>
      <c r="Q412" s="1391"/>
    </row>
    <row r="413" spans="1:17" ht="13.5">
      <c r="A413" s="1391"/>
      <c r="B413" s="1391" t="s">
        <v>1941</v>
      </c>
      <c r="C413" s="1391"/>
      <c r="D413" s="1391"/>
      <c r="E413" s="1391">
        <f>'Part III-Sources of Funds'!E50</f>
        <v>0</v>
      </c>
      <c r="F413" s="1391"/>
      <c r="G413" s="1391"/>
      <c r="H413" s="1391"/>
      <c r="I413" s="1429">
        <f>'Part III-Sources of Funds'!I50</f>
        <v>0</v>
      </c>
      <c r="J413" s="1391"/>
      <c r="K413" s="1415"/>
      <c r="L413" s="1415"/>
      <c r="M413" s="409"/>
      <c r="N413" s="409"/>
      <c r="O413" s="409"/>
      <c r="P413" s="409"/>
      <c r="Q413" s="1391"/>
    </row>
    <row r="414" spans="1:17" ht="13.5">
      <c r="A414" s="1391"/>
      <c r="B414" s="1391" t="s">
        <v>771</v>
      </c>
      <c r="C414" s="1391">
        <f>'Part III-Sources of Funds'!C51</f>
        <v>0</v>
      </c>
      <c r="D414" s="1391"/>
      <c r="E414" s="1391">
        <f>'Part III-Sources of Funds'!E51</f>
        <v>0</v>
      </c>
      <c r="F414" s="1391"/>
      <c r="G414" s="1391"/>
      <c r="H414" s="1391"/>
      <c r="I414" s="1429">
        <f>'Part III-Sources of Funds'!I51</f>
        <v>0</v>
      </c>
      <c r="J414" s="1391"/>
      <c r="K414" s="1415"/>
      <c r="L414" s="1415"/>
      <c r="M414" s="409"/>
      <c r="N414" s="409"/>
      <c r="O414" s="409"/>
      <c r="P414" s="409"/>
      <c r="Q414" s="1391"/>
    </row>
    <row r="415" spans="1:17">
      <c r="A415" s="1391"/>
      <c r="B415" s="1391" t="s">
        <v>771</v>
      </c>
      <c r="C415" s="1391">
        <f>'Part III-Sources of Funds'!C52</f>
        <v>0</v>
      </c>
      <c r="D415" s="1391"/>
      <c r="E415" s="1391">
        <f>'Part III-Sources of Funds'!E52</f>
        <v>0</v>
      </c>
      <c r="F415" s="1391"/>
      <c r="G415" s="1391"/>
      <c r="H415" s="1391"/>
      <c r="I415" s="1429">
        <f>'Part III-Sources of Funds'!I52</f>
        <v>0</v>
      </c>
      <c r="J415" s="1391"/>
      <c r="K415" s="1391"/>
      <c r="L415" s="1394"/>
      <c r="M415" s="409"/>
      <c r="N415" s="409"/>
      <c r="O415" s="409"/>
      <c r="P415" s="409"/>
      <c r="Q415" s="1391"/>
    </row>
    <row r="416" spans="1:17">
      <c r="A416" s="1391"/>
      <c r="B416" s="1391" t="s">
        <v>771</v>
      </c>
      <c r="C416" s="1391">
        <f>'Part III-Sources of Funds'!C53</f>
        <v>0</v>
      </c>
      <c r="D416" s="1391"/>
      <c r="E416" s="1391">
        <f>'Part III-Sources of Funds'!E53</f>
        <v>0</v>
      </c>
      <c r="F416" s="1391"/>
      <c r="G416" s="1391"/>
      <c r="H416" s="1391"/>
      <c r="I416" s="1429">
        <f>'Part III-Sources of Funds'!I53</f>
        <v>0</v>
      </c>
      <c r="J416" s="1391"/>
      <c r="K416" s="1391"/>
      <c r="L416" s="1394"/>
      <c r="M416" s="409"/>
      <c r="N416" s="409"/>
      <c r="O416" s="409"/>
      <c r="P416" s="409"/>
      <c r="Q416" s="1391"/>
    </row>
    <row r="417" spans="1:24" ht="13.5">
      <c r="A417" s="1391"/>
      <c r="B417" s="1386" t="s">
        <v>2295</v>
      </c>
      <c r="C417" s="1391"/>
      <c r="D417" s="1391"/>
      <c r="E417" s="1391"/>
      <c r="F417" s="1391"/>
      <c r="G417" s="1391"/>
      <c r="H417" s="1415"/>
      <c r="I417" s="1466">
        <f>SUM(I400:J416)</f>
        <v>25231313</v>
      </c>
      <c r="J417" s="1466"/>
      <c r="K417" s="1391"/>
      <c r="L417" s="1394"/>
      <c r="M417" s="409"/>
      <c r="N417" s="409"/>
      <c r="O417" s="409"/>
      <c r="P417" s="409"/>
      <c r="Q417" s="1391"/>
    </row>
    <row r="418" spans="1:24" ht="13.5">
      <c r="A418" s="1391"/>
      <c r="B418" s="1386" t="s">
        <v>2296</v>
      </c>
      <c r="C418" s="1391"/>
      <c r="D418" s="1391"/>
      <c r="E418" s="1391"/>
      <c r="F418" s="1391"/>
      <c r="G418" s="1391"/>
      <c r="H418" s="1415"/>
      <c r="I418" s="1466">
        <f ca="1">'Part IV-Uses of Funds'!$G$131</f>
        <v>25231313.324578471</v>
      </c>
      <c r="J418" s="1466"/>
      <c r="K418" s="1391"/>
      <c r="L418" s="1394"/>
      <c r="M418" s="409"/>
      <c r="N418" s="409"/>
      <c r="O418" s="409"/>
      <c r="P418" s="409"/>
      <c r="Q418" s="1391"/>
    </row>
    <row r="419" spans="1:24" ht="13.5">
      <c r="A419" s="1391"/>
      <c r="B419" s="1386" t="s">
        <v>1582</v>
      </c>
      <c r="C419" s="1391"/>
      <c r="D419" s="1391"/>
      <c r="E419" s="1391"/>
      <c r="F419" s="1391"/>
      <c r="G419" s="1391"/>
      <c r="H419" s="1415"/>
      <c r="I419" s="1467">
        <f ca="1">I417-I418</f>
        <v>-0.32457847148180008</v>
      </c>
      <c r="J419" s="1467"/>
      <c r="K419" s="1391"/>
      <c r="L419" s="1394"/>
      <c r="M419" s="409"/>
      <c r="N419" s="409"/>
      <c r="O419" s="409"/>
      <c r="P419" s="409"/>
      <c r="Q419" s="1391"/>
    </row>
    <row r="420" spans="1:24">
      <c r="A420" s="1391" t="s">
        <v>3728</v>
      </c>
      <c r="B420" s="1386"/>
      <c r="C420" s="1391"/>
      <c r="D420" s="1391"/>
      <c r="E420" s="1391"/>
      <c r="F420" s="1391"/>
      <c r="G420" s="1391"/>
      <c r="H420" s="402"/>
      <c r="I420" s="402"/>
      <c r="J420" s="338"/>
      <c r="K420" s="1391"/>
      <c r="L420" s="1394"/>
      <c r="M420" s="409"/>
      <c r="N420" s="409"/>
      <c r="O420" s="409"/>
      <c r="P420" s="409"/>
      <c r="Q420" s="1391"/>
    </row>
    <row r="421" spans="1:24">
      <c r="A421" s="338"/>
      <c r="B421" s="338"/>
      <c r="C421" s="338"/>
      <c r="D421" s="338"/>
      <c r="E421" s="338"/>
      <c r="F421" s="338"/>
      <c r="G421" s="338"/>
      <c r="H421" s="338"/>
      <c r="I421" s="338"/>
      <c r="J421" s="338"/>
      <c r="K421" s="338"/>
      <c r="L421" s="338"/>
      <c r="M421" s="338"/>
      <c r="N421" s="338"/>
      <c r="O421" s="338"/>
      <c r="P421" s="338"/>
      <c r="Q421" s="338"/>
    </row>
    <row r="422" spans="1:24">
      <c r="A422" s="340" t="s">
        <v>1858</v>
      </c>
      <c r="B422" s="340" t="s">
        <v>593</v>
      </c>
      <c r="C422" s="338"/>
      <c r="D422" s="338"/>
      <c r="E422" s="338"/>
      <c r="F422" s="338"/>
      <c r="G422" s="338"/>
      <c r="H422" s="338"/>
      <c r="I422" s="338"/>
      <c r="J422" s="338"/>
      <c r="K422" s="340" t="s">
        <v>1858</v>
      </c>
      <c r="L422" s="340" t="s">
        <v>81</v>
      </c>
      <c r="M422" s="338"/>
      <c r="N422" s="338"/>
      <c r="O422" s="338"/>
      <c r="P422" s="338"/>
      <c r="Q422" s="338"/>
    </row>
    <row r="423" spans="1:24" ht="13.5">
      <c r="A423" s="1468"/>
      <c r="B423" s="1476"/>
      <c r="C423" s="1468"/>
      <c r="D423" s="1468"/>
      <c r="E423" s="1468"/>
      <c r="F423" s="1468"/>
      <c r="G423" s="1468"/>
      <c r="H423" s="1468"/>
      <c r="I423" s="1468"/>
      <c r="J423" s="1468"/>
      <c r="K423" s="1468"/>
      <c r="L423" s="1468"/>
      <c r="M423" s="1468"/>
      <c r="N423" s="1468"/>
      <c r="O423" s="1468"/>
      <c r="P423" s="1468"/>
      <c r="Q423" s="1468"/>
    </row>
    <row r="424" spans="1:24" ht="12.75" customHeight="1">
      <c r="A424" s="1452" t="str">
        <f>'Part III-Sources of Funds'!A61</f>
        <v>Lender and investor commitment letters have been included in Tab 1.</v>
      </c>
      <c r="B424" s="1477"/>
      <c r="C424" s="1477"/>
      <c r="D424" s="1477"/>
      <c r="E424" s="1477"/>
      <c r="F424" s="1477"/>
      <c r="G424" s="1477"/>
      <c r="H424" s="1477"/>
      <c r="I424" s="1477"/>
      <c r="J424" s="1477"/>
      <c r="K424" s="1452">
        <f>'Part III-Sources of Funds'!K61</f>
        <v>0</v>
      </c>
      <c r="L424" s="1477"/>
      <c r="M424" s="1477"/>
      <c r="N424" s="1477"/>
      <c r="O424" s="1477"/>
      <c r="P424" s="1477"/>
      <c r="Q424" s="1477"/>
    </row>
    <row r="430" spans="1:24">
      <c r="A430" s="340" t="str">
        <f>CONCATENATE("DRAFT PART FOUR -  USES OF FUNDS","  -  ",'Part I-Project Information'!$O$4," ",'Part I-Project Information'!$F$24,", ",'Part I-Project Information'!F457,", ",'Part I-Project Information'!J458," County")</f>
        <v>DRAFT PART FOUR -  USES OF FUNDS  -  2016-524 Wheat Street Tower, ,  County</v>
      </c>
      <c r="B430" s="340"/>
      <c r="C430" s="340"/>
      <c r="D430" s="340"/>
      <c r="E430" s="340"/>
      <c r="F430" s="340"/>
      <c r="G430" s="340"/>
      <c r="H430" s="340"/>
      <c r="I430" s="340"/>
      <c r="J430" s="340"/>
      <c r="K430" s="340"/>
      <c r="L430" s="340"/>
      <c r="M430" s="340"/>
      <c r="N430" s="340"/>
      <c r="O430" s="340"/>
      <c r="P430" s="340"/>
      <c r="Q430" s="340"/>
      <c r="R430" s="340"/>
      <c r="S430" s="340"/>
      <c r="T430" s="340"/>
      <c r="U430" s="1391"/>
      <c r="V430" s="1391"/>
      <c r="W430" s="340" t="str">
        <f>A430</f>
        <v>DRAFT PART FOUR -  USES OF FUNDS  -  2016-524 Wheat Street Tower, ,  County</v>
      </c>
      <c r="X430" s="340"/>
    </row>
    <row r="431" spans="1:24">
      <c r="A431" s="338"/>
      <c r="B431" s="338"/>
      <c r="C431" s="338"/>
      <c r="D431" s="338"/>
      <c r="E431" s="338"/>
      <c r="F431" s="338"/>
      <c r="G431" s="338"/>
      <c r="H431" s="338"/>
      <c r="I431" s="338"/>
      <c r="J431" s="338"/>
      <c r="K431" s="338"/>
      <c r="L431" s="338"/>
      <c r="M431" s="338"/>
      <c r="N431" s="338"/>
      <c r="O431" s="338"/>
      <c r="P431" s="338"/>
      <c r="Q431" s="338"/>
      <c r="R431" s="338"/>
      <c r="S431" s="338"/>
      <c r="T431" s="338"/>
      <c r="U431" s="338"/>
      <c r="V431" s="338"/>
      <c r="W431" s="338"/>
      <c r="X431" s="338"/>
    </row>
    <row r="432" spans="1:24">
      <c r="A432" s="340"/>
      <c r="B432" s="340"/>
      <c r="C432" s="340"/>
      <c r="D432" s="340"/>
      <c r="E432" s="340"/>
      <c r="F432" s="340"/>
      <c r="G432" s="340"/>
      <c r="H432" s="340"/>
      <c r="I432" s="340"/>
      <c r="J432" s="340"/>
      <c r="K432" s="340"/>
      <c r="L432" s="340"/>
      <c r="M432" s="340"/>
      <c r="N432" s="340"/>
      <c r="O432" s="340"/>
      <c r="P432" s="340"/>
      <c r="Q432" s="340"/>
      <c r="R432" s="340"/>
      <c r="S432" s="340"/>
      <c r="T432" s="340"/>
      <c r="U432" s="1391"/>
      <c r="V432" s="1391"/>
      <c r="W432" s="1391"/>
      <c r="X432" s="1391"/>
    </row>
    <row r="433" spans="1:24" ht="16.5">
      <c r="A433" s="1174"/>
      <c r="B433" s="1174"/>
      <c r="C433" s="1174"/>
      <c r="D433" s="1478"/>
      <c r="E433" s="1478"/>
      <c r="F433" s="1478"/>
      <c r="G433" s="1478"/>
      <c r="H433" s="1478"/>
      <c r="I433" s="340"/>
      <c r="J433" s="1174"/>
      <c r="K433" s="1174"/>
      <c r="L433" s="1174"/>
      <c r="M433" s="1174"/>
      <c r="N433" s="1174"/>
      <c r="O433" s="1174"/>
      <c r="P433" s="1174"/>
      <c r="Q433" s="1174"/>
      <c r="R433" s="1174"/>
      <c r="S433" s="1174"/>
      <c r="T433" s="1174"/>
      <c r="U433" s="1391"/>
      <c r="V433" s="1391"/>
      <c r="W433" s="1391"/>
      <c r="X433" s="1391"/>
    </row>
    <row r="434" spans="1:24" ht="17.25" customHeight="1">
      <c r="A434" s="1478" t="s">
        <v>640</v>
      </c>
      <c r="B434" s="1478" t="s">
        <v>933</v>
      </c>
      <c r="C434" s="1391"/>
      <c r="D434" s="1391"/>
      <c r="E434" s="1391"/>
      <c r="F434" s="1391"/>
      <c r="G434" s="1478"/>
      <c r="H434" s="1478"/>
      <c r="I434" s="1478"/>
      <c r="J434" s="1479" t="s">
        <v>283</v>
      </c>
      <c r="K434" s="1479"/>
      <c r="L434" s="1424"/>
      <c r="M434" s="1480" t="s">
        <v>507</v>
      </c>
      <c r="N434" s="1480"/>
      <c r="O434" s="1391"/>
      <c r="P434" s="1479" t="s">
        <v>284</v>
      </c>
      <c r="Q434" s="1479"/>
      <c r="R434" s="1391"/>
      <c r="S434" s="1479" t="s">
        <v>285</v>
      </c>
      <c r="T434" s="1479"/>
      <c r="U434" s="1391"/>
      <c r="V434" s="1391"/>
      <c r="W434" s="1481" t="str">
        <f>B434</f>
        <v>DEVELOPMENT BUDGET</v>
      </c>
      <c r="X434" s="1391"/>
    </row>
    <row r="435" spans="1:24">
      <c r="A435" s="1391"/>
      <c r="B435" s="1391"/>
      <c r="C435" s="1391"/>
      <c r="D435" s="1391"/>
      <c r="E435" s="1391"/>
      <c r="F435" s="1391"/>
      <c r="G435" s="340" t="s">
        <v>103</v>
      </c>
      <c r="H435" s="340"/>
      <c r="I435" s="1391"/>
      <c r="J435" s="1479"/>
      <c r="K435" s="1479"/>
      <c r="L435" s="1424"/>
      <c r="M435" s="1480"/>
      <c r="N435" s="1480"/>
      <c r="O435" s="1391"/>
      <c r="P435" s="1479"/>
      <c r="Q435" s="1479"/>
      <c r="R435" s="1391"/>
      <c r="S435" s="1479"/>
      <c r="T435" s="1479"/>
      <c r="U435" s="1391"/>
      <c r="V435" s="1391"/>
      <c r="W435" s="354" t="s">
        <v>2778</v>
      </c>
      <c r="X435" s="354"/>
    </row>
    <row r="436" spans="1:24">
      <c r="A436" s="1391"/>
      <c r="B436" s="340" t="s">
        <v>104</v>
      </c>
      <c r="C436" s="1391"/>
      <c r="D436" s="1391"/>
      <c r="E436" s="1391"/>
      <c r="F436" s="1391"/>
      <c r="G436" s="1391"/>
      <c r="H436" s="1391"/>
      <c r="I436" s="1391"/>
      <c r="J436" s="1391"/>
      <c r="K436" s="1391"/>
      <c r="L436" s="1391"/>
      <c r="M436" s="1391"/>
      <c r="N436" s="1391"/>
      <c r="O436" s="1174" t="str">
        <f>B436</f>
        <v>PRE-DEVELOPMENT COSTS</v>
      </c>
      <c r="P436" s="1391"/>
      <c r="Q436" s="1391"/>
      <c r="R436" s="1391"/>
      <c r="S436" s="1391"/>
      <c r="T436" s="1391"/>
      <c r="U436" s="1391"/>
      <c r="V436" s="1391"/>
      <c r="W436" s="1391" t="str">
        <f>B436</f>
        <v>PRE-DEVELOPMENT COSTS</v>
      </c>
      <c r="X436" s="1391"/>
    </row>
    <row r="437" spans="1:24">
      <c r="A437" s="1391"/>
      <c r="B437" s="1391" t="s">
        <v>2076</v>
      </c>
      <c r="C437" s="1391"/>
      <c r="D437" s="1391"/>
      <c r="E437" s="1391"/>
      <c r="F437" s="1391"/>
      <c r="G437" s="1424">
        <f>'Part IV-Uses of Funds'!G8</f>
        <v>0</v>
      </c>
      <c r="H437" s="1424"/>
      <c r="I437" s="1391"/>
      <c r="J437" s="1424">
        <f>'Part IV-Uses of Funds'!J8</f>
        <v>0</v>
      </c>
      <c r="K437" s="1424"/>
      <c r="L437" s="1395"/>
      <c r="M437" s="1424">
        <f>'Part IV-Uses of Funds'!M8</f>
        <v>0</v>
      </c>
      <c r="N437" s="1424"/>
      <c r="O437" s="1391"/>
      <c r="P437" s="1424">
        <f>'Part IV-Uses of Funds'!P8</f>
        <v>0</v>
      </c>
      <c r="Q437" s="1424"/>
      <c r="R437" s="1391"/>
      <c r="S437" s="1424">
        <f>'Part IV-Uses of Funds'!S8</f>
        <v>0</v>
      </c>
      <c r="T437" s="1424"/>
      <c r="U437" s="1391"/>
      <c r="V437" s="1441">
        <f>'Part IV-Uses of Funds'!V8</f>
        <v>0</v>
      </c>
      <c r="W437" s="1482">
        <f>'Part IV-Uses of Funds'!W8</f>
        <v>0</v>
      </c>
      <c r="X437" s="1482"/>
    </row>
    <row r="438" spans="1:24">
      <c r="A438" s="1391"/>
      <c r="B438" s="1391" t="s">
        <v>474</v>
      </c>
      <c r="C438" s="1391"/>
      <c r="D438" s="1391"/>
      <c r="E438" s="1391"/>
      <c r="F438" s="1391"/>
      <c r="G438" s="1424">
        <f>'Part IV-Uses of Funds'!G9</f>
        <v>5000</v>
      </c>
      <c r="H438" s="1424"/>
      <c r="I438" s="1391"/>
      <c r="J438" s="1424">
        <f>'Part IV-Uses of Funds'!J9</f>
        <v>0</v>
      </c>
      <c r="K438" s="1424"/>
      <c r="L438" s="1395"/>
      <c r="M438" s="1424">
        <f>'Part IV-Uses of Funds'!M9</f>
        <v>0</v>
      </c>
      <c r="N438" s="1424"/>
      <c r="O438" s="1391"/>
      <c r="P438" s="1424">
        <f>'Part IV-Uses of Funds'!P9</f>
        <v>5000</v>
      </c>
      <c r="Q438" s="1424"/>
      <c r="R438" s="1391"/>
      <c r="S438" s="1424">
        <f>'Part IV-Uses of Funds'!S9</f>
        <v>0</v>
      </c>
      <c r="T438" s="1424"/>
      <c r="U438" s="1391"/>
      <c r="V438" s="1441">
        <f>'Part IV-Uses of Funds'!V9</f>
        <v>0</v>
      </c>
      <c r="W438" s="1482"/>
      <c r="X438" s="1482"/>
    </row>
    <row r="439" spans="1:24">
      <c r="A439" s="1391"/>
      <c r="B439" s="1391" t="s">
        <v>504</v>
      </c>
      <c r="C439" s="1391"/>
      <c r="D439" s="1391"/>
      <c r="E439" s="1391"/>
      <c r="F439" s="1391"/>
      <c r="G439" s="1424">
        <f>'Part IV-Uses of Funds'!G10</f>
        <v>7200</v>
      </c>
      <c r="H439" s="1424"/>
      <c r="I439" s="1391"/>
      <c r="J439" s="1424">
        <f>'Part IV-Uses of Funds'!J10</f>
        <v>0</v>
      </c>
      <c r="K439" s="1424"/>
      <c r="L439" s="1395"/>
      <c r="M439" s="1424">
        <f>'Part IV-Uses of Funds'!M10</f>
        <v>0</v>
      </c>
      <c r="N439" s="1424"/>
      <c r="O439" s="1391"/>
      <c r="P439" s="1424">
        <f>'Part IV-Uses of Funds'!P10</f>
        <v>7200</v>
      </c>
      <c r="Q439" s="1424"/>
      <c r="R439" s="1391"/>
      <c r="S439" s="1424">
        <f>'Part IV-Uses of Funds'!S10</f>
        <v>0</v>
      </c>
      <c r="T439" s="1424"/>
      <c r="U439" s="1391"/>
      <c r="V439" s="1441">
        <f>'Part IV-Uses of Funds'!V10</f>
        <v>0</v>
      </c>
      <c r="W439" s="1482"/>
      <c r="X439" s="1482"/>
    </row>
    <row r="440" spans="1:24">
      <c r="A440" s="1391"/>
      <c r="B440" s="1391" t="s">
        <v>505</v>
      </c>
      <c r="C440" s="1391"/>
      <c r="D440" s="1391"/>
      <c r="E440" s="1391"/>
      <c r="F440" s="1391"/>
      <c r="G440" s="1424">
        <f>'Part IV-Uses of Funds'!G11</f>
        <v>15000</v>
      </c>
      <c r="H440" s="1424"/>
      <c r="I440" s="1391"/>
      <c r="J440" s="1424">
        <f>'Part IV-Uses of Funds'!J11</f>
        <v>0</v>
      </c>
      <c r="K440" s="1424"/>
      <c r="L440" s="1395"/>
      <c r="M440" s="1424">
        <f>'Part IV-Uses of Funds'!M11</f>
        <v>0</v>
      </c>
      <c r="N440" s="1424"/>
      <c r="O440" s="1391"/>
      <c r="P440" s="1424">
        <f>'Part IV-Uses of Funds'!P11</f>
        <v>15000</v>
      </c>
      <c r="Q440" s="1424"/>
      <c r="R440" s="1391"/>
      <c r="S440" s="1424">
        <f>'Part IV-Uses of Funds'!S11</f>
        <v>0</v>
      </c>
      <c r="T440" s="1424"/>
      <c r="U440" s="1391"/>
      <c r="V440" s="1441">
        <f>'Part IV-Uses of Funds'!V11</f>
        <v>0</v>
      </c>
      <c r="W440" s="1482"/>
      <c r="X440" s="1482"/>
    </row>
    <row r="441" spans="1:24">
      <c r="A441" s="1391"/>
      <c r="B441" s="1391" t="s">
        <v>2586</v>
      </c>
      <c r="C441" s="1391"/>
      <c r="D441" s="1391"/>
      <c r="E441" s="1391"/>
      <c r="F441" s="1391"/>
      <c r="G441" s="1424">
        <f>'Part IV-Uses of Funds'!G12</f>
        <v>10500</v>
      </c>
      <c r="H441" s="1424"/>
      <c r="I441" s="1391"/>
      <c r="J441" s="1424">
        <f>'Part IV-Uses of Funds'!J12</f>
        <v>0</v>
      </c>
      <c r="K441" s="1424"/>
      <c r="L441" s="1395"/>
      <c r="M441" s="1424">
        <f>'Part IV-Uses of Funds'!M12</f>
        <v>0</v>
      </c>
      <c r="N441" s="1424"/>
      <c r="O441" s="1391"/>
      <c r="P441" s="1424">
        <f>'Part IV-Uses of Funds'!P12</f>
        <v>8400</v>
      </c>
      <c r="Q441" s="1424"/>
      <c r="R441" s="1391"/>
      <c r="S441" s="1424">
        <f>'Part IV-Uses of Funds'!S12</f>
        <v>2100</v>
      </c>
      <c r="T441" s="1424"/>
      <c r="U441" s="1391"/>
      <c r="V441" s="1441">
        <f>'Part IV-Uses of Funds'!V12</f>
        <v>0</v>
      </c>
      <c r="W441" s="1482"/>
      <c r="X441" s="1482"/>
    </row>
    <row r="442" spans="1:24">
      <c r="A442" s="1391"/>
      <c r="B442" s="1391" t="s">
        <v>196</v>
      </c>
      <c r="C442" s="1391"/>
      <c r="D442" s="1391"/>
      <c r="E442" s="1391"/>
      <c r="F442" s="1391"/>
      <c r="G442" s="1424">
        <f>'Part IV-Uses of Funds'!G13</f>
        <v>0</v>
      </c>
      <c r="H442" s="1424"/>
      <c r="I442" s="1391"/>
      <c r="J442" s="1424">
        <f>'Part IV-Uses of Funds'!J13</f>
        <v>0</v>
      </c>
      <c r="K442" s="1424"/>
      <c r="L442" s="1395"/>
      <c r="M442" s="1424">
        <f>'Part IV-Uses of Funds'!M13</f>
        <v>0</v>
      </c>
      <c r="N442" s="1424"/>
      <c r="O442" s="1391"/>
      <c r="P442" s="1424">
        <f>'Part IV-Uses of Funds'!P13</f>
        <v>0</v>
      </c>
      <c r="Q442" s="1424"/>
      <c r="R442" s="1391"/>
      <c r="S442" s="1424">
        <f>'Part IV-Uses of Funds'!S13</f>
        <v>0</v>
      </c>
      <c r="T442" s="1424"/>
      <c r="U442" s="1391"/>
      <c r="V442" s="1441">
        <f>'Part IV-Uses of Funds'!V13</f>
        <v>0</v>
      </c>
      <c r="W442" s="1482"/>
      <c r="X442" s="1482"/>
    </row>
    <row r="443" spans="1:24" ht="15.75">
      <c r="A443" s="1483" t="str">
        <f>IF(AND(G443&gt;0,OR(C443="",C443="&lt;Enter detailed description here; use Comments section if needed&gt;")),"X","")</f>
        <v/>
      </c>
      <c r="B443" s="1391" t="s">
        <v>771</v>
      </c>
      <c r="C443" s="1391" t="str">
        <f>'Part IV-Uses of Funds'!C14</f>
        <v>Termite Inspection</v>
      </c>
      <c r="D443" s="1391"/>
      <c r="E443" s="1391"/>
      <c r="F443" s="1391"/>
      <c r="G443" s="1424">
        <f>'Part IV-Uses of Funds'!G14</f>
        <v>3000</v>
      </c>
      <c r="H443" s="1424"/>
      <c r="I443" s="1391"/>
      <c r="J443" s="1424">
        <f>'Part IV-Uses of Funds'!J14</f>
        <v>0</v>
      </c>
      <c r="K443" s="1424"/>
      <c r="L443" s="1395"/>
      <c r="M443" s="1424">
        <f>'Part IV-Uses of Funds'!M14</f>
        <v>0</v>
      </c>
      <c r="N443" s="1424"/>
      <c r="O443" s="1391"/>
      <c r="P443" s="1424">
        <f>'Part IV-Uses of Funds'!P14</f>
        <v>3000</v>
      </c>
      <c r="Q443" s="1424"/>
      <c r="R443" s="1391"/>
      <c r="S443" s="1424">
        <f>'Part IV-Uses of Funds'!S14</f>
        <v>0</v>
      </c>
      <c r="T443" s="1424"/>
      <c r="U443" s="296" t="str">
        <f>IF(AND(G443&gt;0,OR(C443="",C443="&lt;Enter detailed description here; use Comments section if needed&gt;")),"NO DESCRIPTION PROVIDED - please enter detailed description in Other box at left; use Comments section below if needed.","")</f>
        <v/>
      </c>
      <c r="V443" s="1441">
        <f>'Part IV-Uses of Funds'!V14</f>
        <v>0</v>
      </c>
      <c r="W443" s="1482"/>
      <c r="X443" s="1482"/>
    </row>
    <row r="444" spans="1:24" ht="15.75">
      <c r="A444" s="1483" t="str">
        <f>IF(AND(G444&gt;0,OR(C444="",C444="&lt;Enter detailed description here; use Comments section if needed&gt;")),"X","")</f>
        <v/>
      </c>
      <c r="B444" s="1391" t="s">
        <v>771</v>
      </c>
      <c r="C444" s="1391" t="str">
        <f>'Part IV-Uses of Funds'!C15</f>
        <v>Physical Needs Assessment</v>
      </c>
      <c r="D444" s="1391"/>
      <c r="E444" s="1391"/>
      <c r="F444" s="1391"/>
      <c r="G444" s="1424">
        <f>'Part IV-Uses of Funds'!G15</f>
        <v>4850</v>
      </c>
      <c r="H444" s="1424"/>
      <c r="I444" s="1391"/>
      <c r="J444" s="1424">
        <f>'Part IV-Uses of Funds'!J15</f>
        <v>0</v>
      </c>
      <c r="K444" s="1424"/>
      <c r="L444" s="1395"/>
      <c r="M444" s="1424">
        <f>'Part IV-Uses of Funds'!M15</f>
        <v>0</v>
      </c>
      <c r="N444" s="1424"/>
      <c r="O444" s="1391"/>
      <c r="P444" s="1424">
        <f>'Part IV-Uses of Funds'!P15</f>
        <v>4850</v>
      </c>
      <c r="Q444" s="1424"/>
      <c r="R444" s="1391"/>
      <c r="S444" s="1424">
        <f>'Part IV-Uses of Funds'!S15</f>
        <v>0</v>
      </c>
      <c r="T444" s="1424"/>
      <c r="U444" s="296" t="str">
        <f>IF(AND(G444&gt;0,OR(C444="",C444="&lt;Enter detailed description here; use Comments section if needed&gt;")),"NO DESCRIPTION PROVIDED - please enter detailed description in Other box at left; use Comments section below if needed.","")</f>
        <v/>
      </c>
      <c r="V444" s="1441">
        <f>'Part IV-Uses of Funds'!V15</f>
        <v>0</v>
      </c>
      <c r="W444" s="1482"/>
      <c r="X444" s="1482"/>
    </row>
    <row r="445" spans="1:24" ht="15.75">
      <c r="A445" s="1483" t="str">
        <f>IF(AND(G445&gt;0,OR(C445="",C445="&lt;Enter detailed description here; use Comments section if needed&gt;")),"X","")</f>
        <v/>
      </c>
      <c r="B445" s="1391" t="s">
        <v>771</v>
      </c>
      <c r="C445" s="1391" t="str">
        <f>'Part IV-Uses of Funds'!C16</f>
        <v>&lt;&lt; Enter description here; provide detail &amp; justification in tab Part IV-b &gt;&gt;</v>
      </c>
      <c r="D445" s="1391"/>
      <c r="E445" s="1391"/>
      <c r="F445" s="1391"/>
      <c r="G445" s="1424">
        <f>'Part IV-Uses of Funds'!G16</f>
        <v>0</v>
      </c>
      <c r="H445" s="1424"/>
      <c r="I445" s="1391"/>
      <c r="J445" s="1424">
        <f>'Part IV-Uses of Funds'!J16</f>
        <v>0</v>
      </c>
      <c r="K445" s="1424"/>
      <c r="L445" s="1395"/>
      <c r="M445" s="1424">
        <f>'Part IV-Uses of Funds'!M16</f>
        <v>0</v>
      </c>
      <c r="N445" s="1424"/>
      <c r="O445" s="1391"/>
      <c r="P445" s="1424">
        <f>'Part IV-Uses of Funds'!P16</f>
        <v>0</v>
      </c>
      <c r="Q445" s="1424"/>
      <c r="R445" s="1391"/>
      <c r="S445" s="1424">
        <f>'Part IV-Uses of Funds'!S16</f>
        <v>0</v>
      </c>
      <c r="T445" s="1424"/>
      <c r="U445" s="296" t="str">
        <f>IF(AND(G445&gt;0,OR(C445="",C445="&lt;Enter detailed description here; use Comments section if needed&gt;")),"NO DESCRIPTION PROVIDED - please enter detailed description in Other box at left; use Comments section below if needed.","")</f>
        <v/>
      </c>
      <c r="V445" s="1441">
        <f>'Part IV-Uses of Funds'!V16</f>
        <v>0</v>
      </c>
      <c r="W445" s="1482"/>
      <c r="X445" s="1482"/>
    </row>
    <row r="446" spans="1:24">
      <c r="A446" s="1391"/>
      <c r="B446" s="1391"/>
      <c r="C446" s="1391"/>
      <c r="D446" s="1391"/>
      <c r="E446" s="1391"/>
      <c r="F446" s="1484" t="s">
        <v>197</v>
      </c>
      <c r="G446" s="1424">
        <f>SUM(G437:H445)</f>
        <v>45550</v>
      </c>
      <c r="H446" s="1424"/>
      <c r="I446" s="1391"/>
      <c r="J446" s="1424">
        <f>SUM(J437:K445)</f>
        <v>0</v>
      </c>
      <c r="K446" s="353"/>
      <c r="L446" s="1395"/>
      <c r="M446" s="1424">
        <f>SUM(M437:N445)</f>
        <v>0</v>
      </c>
      <c r="N446" s="1424"/>
      <c r="O446" s="1391"/>
      <c r="P446" s="1424">
        <f>SUM(P437:Q445)</f>
        <v>43450</v>
      </c>
      <c r="Q446" s="1424"/>
      <c r="R446" s="1391"/>
      <c r="S446" s="1424">
        <f>SUM(S437:T445)</f>
        <v>2100</v>
      </c>
      <c r="T446" s="1424"/>
      <c r="U446" s="1391"/>
      <c r="V446" s="1441">
        <f>SUM(V437:V445)</f>
        <v>0</v>
      </c>
      <c r="W446" s="1482"/>
      <c r="X446" s="1482"/>
    </row>
    <row r="447" spans="1:24">
      <c r="A447" s="1391"/>
      <c r="B447" s="340" t="s">
        <v>2276</v>
      </c>
      <c r="C447" s="1391"/>
      <c r="D447" s="1391"/>
      <c r="E447" s="1391"/>
      <c r="F447" s="1391"/>
      <c r="G447" s="1391"/>
      <c r="H447" s="1391"/>
      <c r="I447" s="1391"/>
      <c r="J447" s="1424"/>
      <c r="K447" s="1424"/>
      <c r="L447" s="1391"/>
      <c r="M447" s="1424"/>
      <c r="N447" s="1424"/>
      <c r="O447" s="1485" t="str">
        <f>B447</f>
        <v>ACQUISITION</v>
      </c>
      <c r="P447" s="1424"/>
      <c r="Q447" s="1424"/>
      <c r="R447" s="1391"/>
      <c r="S447" s="1424"/>
      <c r="T447" s="1424"/>
      <c r="U447" s="1391"/>
      <c r="V447" s="1391"/>
      <c r="W447" s="1391" t="str">
        <f>B447</f>
        <v>ACQUISITION</v>
      </c>
      <c r="X447" s="1391"/>
    </row>
    <row r="448" spans="1:24">
      <c r="A448" s="1391"/>
      <c r="B448" s="1391" t="s">
        <v>2277</v>
      </c>
      <c r="C448" s="1391"/>
      <c r="D448" s="1391"/>
      <c r="E448" s="1391"/>
      <c r="F448" s="1391"/>
      <c r="G448" s="1424">
        <f>'Part IV-Uses of Funds'!G19</f>
        <v>200000</v>
      </c>
      <c r="H448" s="1424"/>
      <c r="I448" s="1391"/>
      <c r="J448" s="1395"/>
      <c r="K448" s="1424"/>
      <c r="L448" s="1395"/>
      <c r="M448" s="1395"/>
      <c r="N448" s="1424"/>
      <c r="O448" s="1391"/>
      <c r="P448" s="1395"/>
      <c r="Q448" s="1424"/>
      <c r="R448" s="1391"/>
      <c r="S448" s="1424">
        <f>'Part IV-Uses of Funds'!S19</f>
        <v>200000</v>
      </c>
      <c r="T448" s="1424"/>
      <c r="U448" s="1391"/>
      <c r="V448" s="1441">
        <f>'Part IV-Uses of Funds'!V19</f>
        <v>0</v>
      </c>
      <c r="W448" s="1482">
        <f>'Part IV-Uses of Funds'!W19</f>
        <v>0</v>
      </c>
      <c r="X448" s="1482"/>
    </row>
    <row r="449" spans="1:24">
      <c r="A449" s="1391"/>
      <c r="B449" s="1391" t="s">
        <v>1157</v>
      </c>
      <c r="C449" s="1391"/>
      <c r="D449" s="1391"/>
      <c r="E449" s="1391"/>
      <c r="F449" s="1391"/>
      <c r="G449" s="1424">
        <f>'Part IV-Uses of Funds'!G20</f>
        <v>0</v>
      </c>
      <c r="H449" s="1424"/>
      <c r="I449" s="1391"/>
      <c r="J449" s="1395"/>
      <c r="K449" s="1424"/>
      <c r="L449" s="1395"/>
      <c r="M449" s="1395"/>
      <c r="N449" s="1424"/>
      <c r="O449" s="1391"/>
      <c r="P449" s="1395"/>
      <c r="Q449" s="1424"/>
      <c r="R449" s="1391"/>
      <c r="S449" s="1424">
        <f>'Part IV-Uses of Funds'!S20</f>
        <v>0</v>
      </c>
      <c r="T449" s="1424"/>
      <c r="U449" s="1391"/>
      <c r="V449" s="1441">
        <f>'Part IV-Uses of Funds'!V20</f>
        <v>0</v>
      </c>
      <c r="W449" s="1482"/>
      <c r="X449" s="1482"/>
    </row>
    <row r="450" spans="1:24">
      <c r="A450" s="1391"/>
      <c r="B450" s="1391" t="s">
        <v>475</v>
      </c>
      <c r="C450" s="1391"/>
      <c r="D450" s="1391"/>
      <c r="E450" s="1391"/>
      <c r="F450" s="1391"/>
      <c r="G450" s="1424">
        <f>'Part IV-Uses of Funds'!G21</f>
        <v>0</v>
      </c>
      <c r="H450" s="1424"/>
      <c r="I450" s="1391"/>
      <c r="J450" s="1395"/>
      <c r="K450" s="1424"/>
      <c r="L450" s="1395"/>
      <c r="M450" s="1424">
        <f>'Part IV-Uses of Funds'!M21</f>
        <v>0</v>
      </c>
      <c r="N450" s="1424"/>
      <c r="O450" s="1391"/>
      <c r="P450" s="1395"/>
      <c r="Q450" s="1424"/>
      <c r="R450" s="1391"/>
      <c r="S450" s="1424">
        <f>'Part IV-Uses of Funds'!S21</f>
        <v>0</v>
      </c>
      <c r="T450" s="1424"/>
      <c r="U450" s="1391"/>
      <c r="V450" s="1441">
        <f>'Part IV-Uses of Funds'!V21</f>
        <v>0</v>
      </c>
      <c r="W450" s="1482"/>
      <c r="X450" s="1482"/>
    </row>
    <row r="451" spans="1:24">
      <c r="A451" s="1391"/>
      <c r="B451" s="1391" t="s">
        <v>445</v>
      </c>
      <c r="C451" s="1391"/>
      <c r="D451" s="1391"/>
      <c r="E451" s="1391"/>
      <c r="F451" s="1391"/>
      <c r="G451" s="1424">
        <f>'Part IV-Uses of Funds'!G22</f>
        <v>1300000</v>
      </c>
      <c r="H451" s="1424"/>
      <c r="I451" s="1391"/>
      <c r="J451" s="1395"/>
      <c r="K451" s="1424"/>
      <c r="L451" s="1395"/>
      <c r="M451" s="1424">
        <f>'Part IV-Uses of Funds'!M22</f>
        <v>1300000</v>
      </c>
      <c r="N451" s="1424"/>
      <c r="O451" s="1391"/>
      <c r="P451" s="1395"/>
      <c r="Q451" s="1424"/>
      <c r="R451" s="1391"/>
      <c r="S451" s="1424">
        <f>'Part IV-Uses of Funds'!S22</f>
        <v>0</v>
      </c>
      <c r="T451" s="1424"/>
      <c r="U451" s="1391"/>
      <c r="V451" s="1441">
        <f>'Part IV-Uses of Funds'!V22</f>
        <v>0</v>
      </c>
      <c r="W451" s="1482"/>
      <c r="X451" s="1482"/>
    </row>
    <row r="452" spans="1:24">
      <c r="A452" s="1391"/>
      <c r="B452" s="1391"/>
      <c r="C452" s="1391"/>
      <c r="D452" s="1391"/>
      <c r="E452" s="1391"/>
      <c r="F452" s="1484" t="s">
        <v>197</v>
      </c>
      <c r="G452" s="1424">
        <f>SUM(G448:H451)</f>
        <v>1500000</v>
      </c>
      <c r="H452" s="1424"/>
      <c r="I452" s="1391"/>
      <c r="J452" s="1395"/>
      <c r="K452" s="1424"/>
      <c r="L452" s="1395"/>
      <c r="M452" s="1424">
        <f>SUM(M450:N451)</f>
        <v>1300000</v>
      </c>
      <c r="N452" s="1424"/>
      <c r="O452" s="1391"/>
      <c r="P452" s="1395"/>
      <c r="Q452" s="1424"/>
      <c r="R452" s="1391"/>
      <c r="S452" s="1424">
        <f>SUM(S448:T451)</f>
        <v>200000</v>
      </c>
      <c r="T452" s="1424"/>
      <c r="U452" s="1391"/>
      <c r="V452" s="1441">
        <f>SUM(V448:V451)</f>
        <v>0</v>
      </c>
      <c r="W452" s="1482"/>
      <c r="X452" s="1482"/>
    </row>
    <row r="453" spans="1:24">
      <c r="A453" s="1391"/>
      <c r="B453" s="340" t="s">
        <v>1158</v>
      </c>
      <c r="C453" s="1391"/>
      <c r="D453" s="1391"/>
      <c r="E453" s="1391"/>
      <c r="F453" s="1391"/>
      <c r="G453" s="1391"/>
      <c r="H453" s="1391"/>
      <c r="I453" s="1391"/>
      <c r="J453" s="1395"/>
      <c r="K453" s="1424"/>
      <c r="L453" s="1391"/>
      <c r="M453" s="1395"/>
      <c r="N453" s="1424"/>
      <c r="O453" s="1485" t="str">
        <f>B453</f>
        <v>LAND IMPROVEMENTS</v>
      </c>
      <c r="P453" s="1395"/>
      <c r="Q453" s="1424"/>
      <c r="R453" s="1391"/>
      <c r="S453" s="1395"/>
      <c r="T453" s="1424"/>
      <c r="U453" s="1391"/>
      <c r="V453" s="1391"/>
      <c r="W453" s="1391" t="str">
        <f>B453</f>
        <v>LAND IMPROVEMENTS</v>
      </c>
      <c r="X453" s="1391"/>
    </row>
    <row r="454" spans="1:24">
      <c r="A454" s="1391"/>
      <c r="B454" s="1391" t="s">
        <v>1159</v>
      </c>
      <c r="C454" s="1391"/>
      <c r="D454" s="1391"/>
      <c r="E454" s="1391"/>
      <c r="F454" s="1391"/>
      <c r="G454" s="1424">
        <f>'Part IV-Uses of Funds'!G25</f>
        <v>443733</v>
      </c>
      <c r="H454" s="1424"/>
      <c r="I454" s="1391"/>
      <c r="J454" s="1424">
        <f>'Part IV-Uses of Funds'!J25</f>
        <v>0</v>
      </c>
      <c r="K454" s="1424"/>
      <c r="L454" s="1395"/>
      <c r="M454" s="1424">
        <f>'Part IV-Uses of Funds'!M25</f>
        <v>0</v>
      </c>
      <c r="N454" s="1424"/>
      <c r="O454" s="1391"/>
      <c r="P454" s="1424">
        <f>'Part IV-Uses of Funds'!P25</f>
        <v>266239.8</v>
      </c>
      <c r="Q454" s="1424"/>
      <c r="R454" s="1391"/>
      <c r="S454" s="1424">
        <f>'Part IV-Uses of Funds'!S25</f>
        <v>177493.2</v>
      </c>
      <c r="T454" s="1424"/>
      <c r="U454" s="1391"/>
      <c r="V454" s="1441">
        <f>'Part IV-Uses of Funds'!V25</f>
        <v>0</v>
      </c>
      <c r="W454" s="1482">
        <f>'Part IV-Uses of Funds'!W25</f>
        <v>0</v>
      </c>
      <c r="X454" s="1482"/>
    </row>
    <row r="455" spans="1:24">
      <c r="A455" s="1391"/>
      <c r="B455" s="1391" t="s">
        <v>1160</v>
      </c>
      <c r="C455" s="1391"/>
      <c r="D455" s="1391"/>
      <c r="E455" s="1391"/>
      <c r="F455" s="1391"/>
      <c r="G455" s="1424">
        <f>'Part IV-Uses of Funds'!G26</f>
        <v>0</v>
      </c>
      <c r="H455" s="1424"/>
      <c r="I455" s="1391"/>
      <c r="J455" s="1424">
        <f>'Part IV-Uses of Funds'!J26</f>
        <v>0</v>
      </c>
      <c r="K455" s="1424"/>
      <c r="L455" s="388"/>
      <c r="M455" s="1424"/>
      <c r="N455" s="1424"/>
      <c r="O455" s="1391"/>
      <c r="P455" s="1424"/>
      <c r="Q455" s="1424"/>
      <c r="R455" s="1391"/>
      <c r="S455" s="1424">
        <f>'Part IV-Uses of Funds'!S26</f>
        <v>0</v>
      </c>
      <c r="T455" s="1424"/>
      <c r="U455" s="1391"/>
      <c r="V455" s="1441">
        <f>'Part IV-Uses of Funds'!V26</f>
        <v>0</v>
      </c>
      <c r="W455" s="1482"/>
      <c r="X455" s="1482"/>
    </row>
    <row r="456" spans="1:24">
      <c r="A456" s="1391"/>
      <c r="B456" s="1391"/>
      <c r="C456" s="1391"/>
      <c r="D456" s="1391"/>
      <c r="E456" s="1391"/>
      <c r="F456" s="1484" t="s">
        <v>197</v>
      </c>
      <c r="G456" s="1424">
        <f>SUM(G454:H455)</f>
        <v>443733</v>
      </c>
      <c r="H456" s="1424"/>
      <c r="I456" s="1391"/>
      <c r="J456" s="1424">
        <f>SUM(J454:K455)</f>
        <v>0</v>
      </c>
      <c r="K456" s="1424"/>
      <c r="L456" s="1395"/>
      <c r="M456" s="1424">
        <f>M454</f>
        <v>0</v>
      </c>
      <c r="N456" s="1424"/>
      <c r="O456" s="1391"/>
      <c r="P456" s="1424">
        <f>P454</f>
        <v>266239.8</v>
      </c>
      <c r="Q456" s="1424"/>
      <c r="R456" s="1391"/>
      <c r="S456" s="1424">
        <f>SUM(S454:T455)</f>
        <v>177493.2</v>
      </c>
      <c r="T456" s="1424"/>
      <c r="U456" s="1391"/>
      <c r="V456" s="1441">
        <f>SUM(V454:V455)</f>
        <v>0</v>
      </c>
      <c r="W456" s="1482"/>
      <c r="X456" s="1482"/>
    </row>
    <row r="457" spans="1:24">
      <c r="A457" s="1391"/>
      <c r="B457" s="340" t="s">
        <v>1161</v>
      </c>
      <c r="C457" s="1391"/>
      <c r="D457" s="1391"/>
      <c r="E457" s="1391"/>
      <c r="F457" s="1391"/>
      <c r="G457" s="1391"/>
      <c r="H457" s="1391"/>
      <c r="I457" s="1391"/>
      <c r="J457" s="1395"/>
      <c r="K457" s="1424"/>
      <c r="L457" s="1391"/>
      <c r="M457" s="1395"/>
      <c r="N457" s="1424"/>
      <c r="O457" s="1485" t="str">
        <f>B457</f>
        <v>STRUCTURES</v>
      </c>
      <c r="P457" s="1395"/>
      <c r="Q457" s="1424"/>
      <c r="R457" s="1391"/>
      <c r="S457" s="1395"/>
      <c r="T457" s="1424"/>
      <c r="U457" s="1391"/>
      <c r="V457" s="1391"/>
      <c r="W457" s="1391" t="str">
        <f>B457</f>
        <v>STRUCTURES</v>
      </c>
      <c r="X457" s="1391"/>
    </row>
    <row r="458" spans="1:24">
      <c r="A458" s="1391"/>
      <c r="B458" s="1391" t="s">
        <v>1162</v>
      </c>
      <c r="C458" s="1391"/>
      <c r="D458" s="1391"/>
      <c r="E458" s="1391"/>
      <c r="F458" s="1391"/>
      <c r="G458" s="1424">
        <f>'Part IV-Uses of Funds'!G29</f>
        <v>0</v>
      </c>
      <c r="H458" s="1424"/>
      <c r="I458" s="1391"/>
      <c r="J458" s="1424">
        <f>'Part IV-Uses of Funds'!J29</f>
        <v>0</v>
      </c>
      <c r="K458" s="1424"/>
      <c r="L458" s="1395"/>
      <c r="M458" s="1424">
        <f>'Part IV-Uses of Funds'!M29</f>
        <v>0</v>
      </c>
      <c r="N458" s="1424"/>
      <c r="O458" s="1391"/>
      <c r="P458" s="1424">
        <f>'Part IV-Uses of Funds'!P29</f>
        <v>0</v>
      </c>
      <c r="Q458" s="1424"/>
      <c r="R458" s="1391"/>
      <c r="S458" s="1424">
        <f>'Part IV-Uses of Funds'!S29</f>
        <v>0</v>
      </c>
      <c r="T458" s="1424"/>
      <c r="U458" s="1391"/>
      <c r="V458" s="1441">
        <f>'Part IV-Uses of Funds'!V29</f>
        <v>0</v>
      </c>
      <c r="W458" s="1482">
        <f>'Part IV-Uses of Funds'!W29</f>
        <v>0</v>
      </c>
      <c r="X458" s="1482"/>
    </row>
    <row r="459" spans="1:24">
      <c r="A459" s="1391"/>
      <c r="B459" s="1391" t="s">
        <v>1163</v>
      </c>
      <c r="C459" s="1391"/>
      <c r="D459" s="1391"/>
      <c r="E459" s="1391"/>
      <c r="F459" s="1391"/>
      <c r="G459" s="1424">
        <f>'Part IV-Uses of Funds'!G30</f>
        <v>13291981</v>
      </c>
      <c r="H459" s="1424"/>
      <c r="I459" s="1391"/>
      <c r="J459" s="1424">
        <f>'Part IV-Uses of Funds'!J30</f>
        <v>0</v>
      </c>
      <c r="K459" s="1424"/>
      <c r="L459" s="1395"/>
      <c r="M459" s="1424">
        <f>'Part IV-Uses of Funds'!M30</f>
        <v>0</v>
      </c>
      <c r="N459" s="1424"/>
      <c r="O459" s="1391"/>
      <c r="P459" s="1424">
        <f>'Part IV-Uses of Funds'!P30</f>
        <v>13291981</v>
      </c>
      <c r="Q459" s="1424"/>
      <c r="R459" s="1391"/>
      <c r="S459" s="1424">
        <f>'Part IV-Uses of Funds'!S30</f>
        <v>0</v>
      </c>
      <c r="T459" s="1424"/>
      <c r="U459" s="1391"/>
      <c r="V459" s="1441">
        <f>'Part IV-Uses of Funds'!V30</f>
        <v>0</v>
      </c>
      <c r="W459" s="1482"/>
      <c r="X459" s="1482"/>
    </row>
    <row r="460" spans="1:24">
      <c r="A460" s="1391"/>
      <c r="B460" s="1391" t="s">
        <v>2898</v>
      </c>
      <c r="C460" s="1391"/>
      <c r="D460" s="1391"/>
      <c r="E460" s="1391"/>
      <c r="F460" s="1391"/>
      <c r="G460" s="1424">
        <f>'Part IV-Uses of Funds'!G31</f>
        <v>0</v>
      </c>
      <c r="H460" s="1424"/>
      <c r="I460" s="1391"/>
      <c r="J460" s="1424">
        <f>'Part IV-Uses of Funds'!J31</f>
        <v>0</v>
      </c>
      <c r="K460" s="1424"/>
      <c r="L460" s="1395"/>
      <c r="M460" s="1424">
        <f>'Part IV-Uses of Funds'!M31</f>
        <v>0</v>
      </c>
      <c r="N460" s="1424"/>
      <c r="O460" s="1391"/>
      <c r="P460" s="1424">
        <f>'Part IV-Uses of Funds'!P31</f>
        <v>0</v>
      </c>
      <c r="Q460" s="1424"/>
      <c r="R460" s="1391"/>
      <c r="S460" s="1424">
        <f>'Part IV-Uses of Funds'!S31</f>
        <v>0</v>
      </c>
      <c r="T460" s="1424"/>
      <c r="U460" s="1391"/>
      <c r="V460" s="1441">
        <f>'Part IV-Uses of Funds'!V31</f>
        <v>0</v>
      </c>
      <c r="W460" s="1482"/>
      <c r="X460" s="1482"/>
    </row>
    <row r="461" spans="1:24">
      <c r="A461" s="338"/>
      <c r="B461" s="1391" t="s">
        <v>2897</v>
      </c>
      <c r="C461" s="338"/>
      <c r="D461" s="338"/>
      <c r="E461" s="338"/>
      <c r="F461" s="338"/>
      <c r="G461" s="1424">
        <f>'Part IV-Uses of Funds'!G32</f>
        <v>0</v>
      </c>
      <c r="H461" s="1424"/>
      <c r="I461" s="1391"/>
      <c r="J461" s="1424">
        <f>'Part IV-Uses of Funds'!J32</f>
        <v>0</v>
      </c>
      <c r="K461" s="1424"/>
      <c r="L461" s="1395"/>
      <c r="M461" s="1424">
        <f>'Part IV-Uses of Funds'!M32</f>
        <v>0</v>
      </c>
      <c r="N461" s="1424"/>
      <c r="O461" s="1391"/>
      <c r="P461" s="1424">
        <f>'Part IV-Uses of Funds'!P32</f>
        <v>0</v>
      </c>
      <c r="Q461" s="1424"/>
      <c r="R461" s="1391"/>
      <c r="S461" s="1424">
        <f>'Part IV-Uses of Funds'!S32</f>
        <v>0</v>
      </c>
      <c r="T461" s="1424"/>
      <c r="U461" s="338"/>
      <c r="V461" s="1441">
        <f>'Part IV-Uses of Funds'!V32</f>
        <v>0</v>
      </c>
      <c r="W461" s="1482"/>
      <c r="X461" s="1482"/>
    </row>
    <row r="462" spans="1:24">
      <c r="A462" s="1391"/>
      <c r="B462" s="1391"/>
      <c r="C462" s="1486"/>
      <c r="D462" s="1486"/>
      <c r="E462" s="1396"/>
      <c r="F462" s="1484" t="s">
        <v>197</v>
      </c>
      <c r="G462" s="1424">
        <f>SUM(G458:H461)</f>
        <v>13291981</v>
      </c>
      <c r="H462" s="1424"/>
      <c r="I462" s="1391"/>
      <c r="J462" s="1424">
        <f>SUM(J458:K461)</f>
        <v>0</v>
      </c>
      <c r="K462" s="1424"/>
      <c r="L462" s="1395"/>
      <c r="M462" s="1424">
        <f>SUM(M458:N461)</f>
        <v>0</v>
      </c>
      <c r="N462" s="1424"/>
      <c r="O462" s="1391"/>
      <c r="P462" s="1424">
        <f>SUM(P458:Q461)</f>
        <v>13291981</v>
      </c>
      <c r="Q462" s="1424"/>
      <c r="R462" s="1391"/>
      <c r="S462" s="1424">
        <f>SUM(S458:T461)</f>
        <v>0</v>
      </c>
      <c r="T462" s="1424"/>
      <c r="U462" s="1391"/>
      <c r="V462" s="1441">
        <f>SUM(V458:V461)</f>
        <v>0</v>
      </c>
      <c r="W462" s="1482"/>
      <c r="X462" s="1482"/>
    </row>
    <row r="463" spans="1:24">
      <c r="A463" s="1391"/>
      <c r="B463" s="340" t="s">
        <v>2424</v>
      </c>
      <c r="C463" s="1391"/>
      <c r="D463" s="1391"/>
      <c r="E463" s="1487">
        <f>SUM(E464:E466)</f>
        <v>0.14000000000000001</v>
      </c>
      <c r="F463" s="1391"/>
      <c r="G463" s="340"/>
      <c r="H463" s="338"/>
      <c r="I463" s="338"/>
      <c r="J463" s="1395"/>
      <c r="K463" s="1424"/>
      <c r="L463" s="1391"/>
      <c r="M463" s="1395"/>
      <c r="N463" s="1424"/>
      <c r="O463" s="1485" t="str">
        <f>B463</f>
        <v>CONTRACTOR SERVICES</v>
      </c>
      <c r="P463" s="1395"/>
      <c r="Q463" s="1424"/>
      <c r="R463" s="1391"/>
      <c r="S463" s="1395"/>
      <c r="T463" s="1424"/>
      <c r="U463" s="1391"/>
      <c r="V463" s="1391"/>
      <c r="W463" s="1391" t="str">
        <f>B463</f>
        <v>CONTRACTOR SERVICES</v>
      </c>
      <c r="X463" s="1391"/>
    </row>
    <row r="464" spans="1:24">
      <c r="A464" s="1391"/>
      <c r="B464" s="1391" t="s">
        <v>2425</v>
      </c>
      <c r="C464" s="1391"/>
      <c r="D464" s="1391"/>
      <c r="E464" s="443">
        <f>'DCA Underwriting Assumptions'!$R$80</f>
        <v>0.06</v>
      </c>
      <c r="F464" s="1488">
        <f>E464*(G456+G462)</f>
        <v>824142.84</v>
      </c>
      <c r="G464" s="1424">
        <f>'Part IV-Uses of Funds'!G35</f>
        <v>686786</v>
      </c>
      <c r="H464" s="1424"/>
      <c r="I464" s="338"/>
      <c r="J464" s="1424">
        <f>'Part IV-Uses of Funds'!J35</f>
        <v>0</v>
      </c>
      <c r="K464" s="1424"/>
      <c r="L464" s="1395"/>
      <c r="M464" s="1424">
        <f>'Part IV-Uses of Funds'!M35</f>
        <v>0</v>
      </c>
      <c r="N464" s="1424"/>
      <c r="O464" s="1391"/>
      <c r="P464" s="1424">
        <f>'Part IV-Uses of Funds'!P35</f>
        <v>686786</v>
      </c>
      <c r="Q464" s="1424"/>
      <c r="R464" s="1391"/>
      <c r="S464" s="1424">
        <f>'Part IV-Uses of Funds'!S35</f>
        <v>0</v>
      </c>
      <c r="T464" s="1424"/>
      <c r="U464" s="1391"/>
      <c r="V464" s="1441">
        <f>'Part IV-Uses of Funds'!V35</f>
        <v>0</v>
      </c>
      <c r="W464" s="1482">
        <f>'Part IV-Uses of Funds'!W35</f>
        <v>0</v>
      </c>
      <c r="X464" s="1482"/>
    </row>
    <row r="465" spans="1:24">
      <c r="A465" s="1391"/>
      <c r="B465" s="1391" t="s">
        <v>2851</v>
      </c>
      <c r="C465" s="1391"/>
      <c r="D465" s="1391"/>
      <c r="E465" s="443">
        <f>'DCA Underwriting Assumptions'!$R$81</f>
        <v>0.02</v>
      </c>
      <c r="F465" s="1488">
        <f>E465*(G456+G462)</f>
        <v>274714.28000000003</v>
      </c>
      <c r="G465" s="1424">
        <f>'Part IV-Uses of Funds'!G36</f>
        <v>274714.28000000003</v>
      </c>
      <c r="H465" s="1424"/>
      <c r="I465" s="338"/>
      <c r="J465" s="1424">
        <f>'Part IV-Uses of Funds'!J36</f>
        <v>0</v>
      </c>
      <c r="K465" s="1424"/>
      <c r="L465" s="1395"/>
      <c r="M465" s="1424">
        <f>'Part IV-Uses of Funds'!M36</f>
        <v>0</v>
      </c>
      <c r="N465" s="1424"/>
      <c r="O465" s="1391"/>
      <c r="P465" s="1424">
        <f>'Part IV-Uses of Funds'!P36</f>
        <v>274714</v>
      </c>
      <c r="Q465" s="1424"/>
      <c r="R465" s="1391"/>
      <c r="S465" s="1424">
        <f>'Part IV-Uses of Funds'!S36</f>
        <v>0</v>
      </c>
      <c r="T465" s="1424"/>
      <c r="U465" s="1391"/>
      <c r="V465" s="1441">
        <f>'Part IV-Uses of Funds'!V36</f>
        <v>0</v>
      </c>
      <c r="W465" s="1482"/>
      <c r="X465" s="1482"/>
    </row>
    <row r="466" spans="1:24">
      <c r="A466" s="1391"/>
      <c r="B466" s="1391" t="s">
        <v>2852</v>
      </c>
      <c r="C466" s="1391"/>
      <c r="D466" s="1391"/>
      <c r="E466" s="443">
        <f>'DCA Underwriting Assumptions'!$R$82</f>
        <v>0.06</v>
      </c>
      <c r="F466" s="1488">
        <f>E466*(G456+G462)</f>
        <v>824142.84</v>
      </c>
      <c r="G466" s="1424">
        <f>'Part IV-Uses of Funds'!G37</f>
        <v>708143</v>
      </c>
      <c r="H466" s="1424"/>
      <c r="I466" s="338"/>
      <c r="J466" s="1424">
        <f>'Part IV-Uses of Funds'!J37</f>
        <v>0</v>
      </c>
      <c r="K466" s="1424"/>
      <c r="L466" s="1395"/>
      <c r="M466" s="1424">
        <f>'Part IV-Uses of Funds'!M37</f>
        <v>0</v>
      </c>
      <c r="N466" s="1424"/>
      <c r="O466" s="1391"/>
      <c r="P466" s="1424">
        <f>'Part IV-Uses of Funds'!P37</f>
        <v>708143</v>
      </c>
      <c r="Q466" s="1424"/>
      <c r="R466" s="1391"/>
      <c r="S466" s="1424">
        <f>'Part IV-Uses of Funds'!S37</f>
        <v>0</v>
      </c>
      <c r="T466" s="1424"/>
      <c r="U466" s="1391"/>
      <c r="V466" s="1441">
        <f>'Part IV-Uses of Funds'!V37</f>
        <v>0</v>
      </c>
      <c r="W466" s="1482"/>
      <c r="X466" s="1482"/>
    </row>
    <row r="467" spans="1:24">
      <c r="A467" s="1391"/>
      <c r="B467" s="1391" t="s">
        <v>2117</v>
      </c>
      <c r="C467" s="1391"/>
      <c r="D467" s="1489"/>
      <c r="E467" s="1391"/>
      <c r="F467" s="1484" t="s">
        <v>197</v>
      </c>
      <c r="G467" s="1424">
        <f>SUM(G464:H466)</f>
        <v>1669643.28</v>
      </c>
      <c r="H467" s="1424"/>
      <c r="I467" s="1391"/>
      <c r="J467" s="1424">
        <f>SUM(J464:K466)</f>
        <v>0</v>
      </c>
      <c r="K467" s="1424"/>
      <c r="L467" s="1395"/>
      <c r="M467" s="1424">
        <f>SUM(M464:N466)</f>
        <v>0</v>
      </c>
      <c r="N467" s="1424"/>
      <c r="O467" s="1391"/>
      <c r="P467" s="1424">
        <f>SUM(P464:Q466)</f>
        <v>1669643</v>
      </c>
      <c r="Q467" s="1424"/>
      <c r="R467" s="1391"/>
      <c r="S467" s="1424">
        <f>SUM(S464:T466)</f>
        <v>0</v>
      </c>
      <c r="T467" s="1424"/>
      <c r="U467" s="1391"/>
      <c r="V467" s="1441">
        <f>SUM(V464:V466)</f>
        <v>0</v>
      </c>
      <c r="W467" s="1482"/>
      <c r="X467" s="1482"/>
    </row>
    <row r="468" spans="1:24">
      <c r="A468" s="1174"/>
      <c r="B468" s="1174"/>
      <c r="C468" s="1174"/>
      <c r="D468" s="1174"/>
      <c r="E468" s="1174"/>
      <c r="F468" s="1174"/>
      <c r="G468" s="1174"/>
      <c r="H468" s="1174"/>
      <c r="I468" s="1174"/>
      <c r="J468" s="1174"/>
      <c r="K468" s="1174"/>
      <c r="L468" s="1174"/>
      <c r="M468" s="1174"/>
      <c r="N468" s="1174"/>
      <c r="O468" s="1174"/>
      <c r="P468" s="1174"/>
      <c r="Q468" s="1174"/>
      <c r="R468" s="1174"/>
      <c r="S468" s="1174"/>
      <c r="T468" s="1174"/>
      <c r="U468" s="1391"/>
      <c r="V468" s="1391"/>
      <c r="W468" s="1391"/>
      <c r="X468" s="1391"/>
    </row>
    <row r="469" spans="1:24">
      <c r="A469" s="1391"/>
      <c r="B469" s="340" t="s">
        <v>2856</v>
      </c>
      <c r="C469" s="1391"/>
      <c r="D469" s="1391"/>
      <c r="E469" s="1391"/>
      <c r="F469" s="1391"/>
      <c r="G469" s="1391"/>
      <c r="H469" s="1391"/>
      <c r="I469" s="1391"/>
      <c r="J469" s="1395"/>
      <c r="K469" s="1424"/>
      <c r="L469" s="1391"/>
      <c r="M469" s="1395"/>
      <c r="N469" s="1424"/>
      <c r="O469" s="1485" t="str">
        <f>B469</f>
        <v>OTHER CONSTRUCTION HARD COSTS (Non-GC work scope items done by Owner)</v>
      </c>
      <c r="P469" s="1395"/>
      <c r="Q469" s="1424"/>
      <c r="R469" s="1391"/>
      <c r="S469" s="1395"/>
      <c r="T469" s="1424"/>
      <c r="U469" s="1391"/>
      <c r="V469" s="1391"/>
      <c r="W469" s="1391" t="str">
        <f>B469</f>
        <v>OTHER CONSTRUCTION HARD COSTS (Non-GC work scope items done by Owner)</v>
      </c>
      <c r="X469" s="1391"/>
    </row>
    <row r="470" spans="1:24">
      <c r="A470" s="338"/>
      <c r="B470" s="1391" t="s">
        <v>771</v>
      </c>
      <c r="C470" s="1391" t="str">
        <f>'Part IV-Uses of Funds'!C41</f>
        <v>Payment &amp; Performance Bond/Builder's Risk</v>
      </c>
      <c r="D470" s="1391"/>
      <c r="E470" s="1391"/>
      <c r="F470" s="1391"/>
      <c r="G470" s="1424">
        <f>'Part IV-Uses of Funds'!G41</f>
        <v>116000</v>
      </c>
      <c r="H470" s="1424"/>
      <c r="I470" s="1391"/>
      <c r="J470" s="1424">
        <f>'Part IV-Uses of Funds'!J41</f>
        <v>0</v>
      </c>
      <c r="K470" s="1424"/>
      <c r="L470" s="1395"/>
      <c r="M470" s="1424">
        <f>'Part IV-Uses of Funds'!M41</f>
        <v>0</v>
      </c>
      <c r="N470" s="1424"/>
      <c r="O470" s="1391"/>
      <c r="P470" s="1424">
        <f>'Part IV-Uses of Funds'!P41</f>
        <v>116000</v>
      </c>
      <c r="Q470" s="1424"/>
      <c r="R470" s="1391"/>
      <c r="S470" s="1424">
        <f>'Part IV-Uses of Funds'!S41</f>
        <v>0</v>
      </c>
      <c r="T470" s="1424"/>
      <c r="U470" s="338"/>
      <c r="V470" s="1441">
        <f>'Part IV-Uses of Funds'!V41</f>
        <v>0</v>
      </c>
      <c r="W470" s="1482">
        <f>'Part IV-Uses of Funds'!W41</f>
        <v>0</v>
      </c>
      <c r="X470" s="1482"/>
    </row>
    <row r="471" spans="1:24">
      <c r="A471" s="1174"/>
      <c r="B471" s="1174"/>
      <c r="C471" s="1174"/>
      <c r="D471" s="1174"/>
      <c r="E471" s="1174"/>
      <c r="F471" s="1174"/>
      <c r="G471" s="1174"/>
      <c r="H471" s="1174"/>
      <c r="I471" s="1174"/>
      <c r="J471" s="1174"/>
      <c r="K471" s="1174"/>
      <c r="L471" s="1174"/>
      <c r="M471" s="1174"/>
      <c r="N471" s="1174"/>
      <c r="O471" s="1174"/>
      <c r="P471" s="1174"/>
      <c r="Q471" s="1174"/>
      <c r="R471" s="1174"/>
      <c r="S471" s="1174"/>
      <c r="T471" s="1174"/>
      <c r="U471" s="1391"/>
      <c r="V471" s="1391"/>
      <c r="W471" s="1482"/>
      <c r="X471" s="1482"/>
    </row>
    <row r="472" spans="1:24" ht="12.75" customHeight="1">
      <c r="A472" s="1391"/>
      <c r="B472" s="1490" t="s">
        <v>2861</v>
      </c>
      <c r="C472" s="1491"/>
      <c r="D472" s="1391"/>
      <c r="E472" s="1479" t="s">
        <v>2860</v>
      </c>
      <c r="F472" s="1492">
        <f>B473/'Part VI-Revenues &amp; Expenses'!$O$60</f>
        <v>74621.91</v>
      </c>
      <c r="G472" s="1493" t="s">
        <v>2889</v>
      </c>
      <c r="H472" s="1391"/>
      <c r="I472" s="1391"/>
      <c r="J472" s="1494">
        <f>B473/'Part VI-Revenues &amp; Expenses'!$O$62</f>
        <v>74621.91</v>
      </c>
      <c r="K472" s="1494"/>
      <c r="L472" s="1391"/>
      <c r="M472" s="1495" t="s">
        <v>1454</v>
      </c>
      <c r="N472" s="1495"/>
      <c r="O472" s="1391"/>
      <c r="P472" s="1494">
        <f>B473/'Part I-Project Information'!$P$60</f>
        <v>104.58712774416128</v>
      </c>
      <c r="Q472" s="1494"/>
      <c r="R472" s="1391"/>
      <c r="S472" s="1491" t="s">
        <v>2896</v>
      </c>
      <c r="T472" s="1491"/>
      <c r="U472" s="1391"/>
      <c r="V472" s="1391"/>
      <c r="W472" s="1482"/>
      <c r="X472" s="1482"/>
    </row>
    <row r="473" spans="1:24">
      <c r="A473" s="1391"/>
      <c r="B473" s="1496">
        <f>G456+G462+G467+G470</f>
        <v>15521357.279999999</v>
      </c>
      <c r="C473" s="1496"/>
      <c r="D473" s="1391"/>
      <c r="E473" s="1479"/>
      <c r="F473" s="1492">
        <f>B473/'Part VI-Revenues &amp; Expenses'!$O$117</f>
        <v>139.38751441349211</v>
      </c>
      <c r="G473" s="1430" t="s">
        <v>2890</v>
      </c>
      <c r="H473" s="1391"/>
      <c r="I473" s="1391"/>
      <c r="J473" s="1494">
        <f>B473/'Part VI-Revenues &amp; Expenses'!$O$119</f>
        <v>139.38751441349211</v>
      </c>
      <c r="K473" s="1494"/>
      <c r="L473" s="1391"/>
      <c r="M473" s="1491" t="s">
        <v>2895</v>
      </c>
      <c r="N473" s="1491"/>
      <c r="O473" s="1391"/>
      <c r="P473" s="1391"/>
      <c r="Q473" s="1391"/>
      <c r="R473" s="1391"/>
      <c r="S473" s="1391"/>
      <c r="T473" s="1391"/>
      <c r="U473" s="1391"/>
      <c r="V473" s="1391"/>
      <c r="W473" s="1482"/>
      <c r="X473" s="1482"/>
    </row>
    <row r="474" spans="1:24">
      <c r="A474" s="1174"/>
      <c r="B474" s="1174"/>
      <c r="C474" s="1174"/>
      <c r="D474" s="1174"/>
      <c r="E474" s="1174"/>
      <c r="F474" s="1174"/>
      <c r="G474" s="1174"/>
      <c r="H474" s="1174"/>
      <c r="I474" s="1174"/>
      <c r="J474" s="1174"/>
      <c r="K474" s="1174"/>
      <c r="L474" s="1174"/>
      <c r="M474" s="1174"/>
      <c r="N474" s="1174"/>
      <c r="O474" s="1174"/>
      <c r="P474" s="1174"/>
      <c r="Q474" s="1174"/>
      <c r="R474" s="1174"/>
      <c r="S474" s="1174"/>
      <c r="T474" s="1174"/>
      <c r="U474" s="1391"/>
      <c r="V474" s="1391"/>
      <c r="W474" s="1391"/>
      <c r="X474" s="1391"/>
    </row>
    <row r="475" spans="1:24">
      <c r="A475" s="1391"/>
      <c r="B475" s="340" t="s">
        <v>1164</v>
      </c>
      <c r="C475" s="1391"/>
      <c r="D475" s="1391"/>
      <c r="E475" s="1391"/>
      <c r="F475" s="1391"/>
      <c r="G475" s="1391"/>
      <c r="H475" s="1391"/>
      <c r="I475" s="1391"/>
      <c r="J475" s="1395"/>
      <c r="K475" s="1424"/>
      <c r="L475" s="1391"/>
      <c r="M475" s="1395"/>
      <c r="N475" s="1424"/>
      <c r="O475" s="1485" t="str">
        <f>B475</f>
        <v>CONSTRUCTION CONTINGENCY</v>
      </c>
      <c r="P475" s="1395"/>
      <c r="Q475" s="1424"/>
      <c r="R475" s="1391"/>
      <c r="S475" s="1395"/>
      <c r="T475" s="1424"/>
      <c r="U475" s="1391"/>
      <c r="V475" s="1391"/>
      <c r="W475" s="1391" t="str">
        <f>B475</f>
        <v>CONSTRUCTION CONTINGENCY</v>
      </c>
      <c r="X475" s="1391"/>
    </row>
    <row r="476" spans="1:24">
      <c r="A476" s="338"/>
      <c r="B476" s="1391" t="s">
        <v>2036</v>
      </c>
      <c r="C476" s="338"/>
      <c r="D476" s="353"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353"/>
      <c r="F476" s="443">
        <f>G476/B473</f>
        <v>3.2213677643016025E-2</v>
      </c>
      <c r="G476" s="1424">
        <f>'Part IV-Uses of Funds'!G47</f>
        <v>500000</v>
      </c>
      <c r="H476" s="1424"/>
      <c r="I476" s="1391"/>
      <c r="J476" s="1424">
        <f>'Part IV-Uses of Funds'!J47</f>
        <v>0</v>
      </c>
      <c r="K476" s="1424"/>
      <c r="L476" s="1395"/>
      <c r="M476" s="1424">
        <f>'Part IV-Uses of Funds'!M47</f>
        <v>0</v>
      </c>
      <c r="N476" s="1424"/>
      <c r="O476" s="1391"/>
      <c r="P476" s="1424">
        <f>'Part IV-Uses of Funds'!P47</f>
        <v>500000</v>
      </c>
      <c r="Q476" s="1424"/>
      <c r="R476" s="1391"/>
      <c r="S476" s="1424">
        <f>'Part IV-Uses of Funds'!S47</f>
        <v>0</v>
      </c>
      <c r="T476" s="1424"/>
      <c r="U476" s="338"/>
      <c r="V476" s="1441">
        <f>'Part IV-Uses of Funds'!V47</f>
        <v>0</v>
      </c>
      <c r="W476" s="1482">
        <f>'Part IV-Uses of Funds'!W47</f>
        <v>0</v>
      </c>
      <c r="X476" s="1482"/>
    </row>
    <row r="477" spans="1:24">
      <c r="A477" s="1174"/>
      <c r="B477" s="1174"/>
      <c r="C477" s="1174"/>
      <c r="D477" s="1174"/>
      <c r="E477" s="1174"/>
      <c r="F477" s="1174"/>
      <c r="G477" s="1174"/>
      <c r="H477" s="1174"/>
      <c r="I477" s="1174"/>
      <c r="J477" s="1174"/>
      <c r="K477" s="1174"/>
      <c r="L477" s="1174"/>
      <c r="M477" s="1174"/>
      <c r="N477" s="1174"/>
      <c r="O477" s="1174"/>
      <c r="P477" s="1174"/>
      <c r="Q477" s="1174"/>
      <c r="R477" s="1174"/>
      <c r="S477" s="1174"/>
      <c r="T477" s="1174"/>
      <c r="U477" s="1391"/>
      <c r="V477" s="1391"/>
      <c r="W477" s="1391"/>
      <c r="X477" s="1391"/>
    </row>
    <row r="478" spans="1:24">
      <c r="A478" s="1174"/>
      <c r="B478" s="1174"/>
      <c r="C478" s="1174"/>
      <c r="D478" s="1174"/>
      <c r="E478" s="1174"/>
      <c r="F478" s="1174"/>
      <c r="G478" s="1174"/>
      <c r="H478" s="1174"/>
      <c r="I478" s="1174"/>
      <c r="J478" s="1174"/>
      <c r="K478" s="1174"/>
      <c r="L478" s="1174"/>
      <c r="M478" s="1174"/>
      <c r="N478" s="1174"/>
      <c r="O478" s="1174"/>
      <c r="P478" s="1174"/>
      <c r="Q478" s="1174"/>
      <c r="R478" s="1174"/>
      <c r="S478" s="1174"/>
      <c r="T478" s="1174"/>
      <c r="U478" s="1391"/>
      <c r="V478" s="1391"/>
      <c r="W478" s="1391"/>
      <c r="X478" s="1391"/>
    </row>
    <row r="479" spans="1:24" ht="17.25" customHeight="1">
      <c r="A479" s="1478" t="s">
        <v>640</v>
      </c>
      <c r="B479" s="1478" t="s">
        <v>2983</v>
      </c>
      <c r="C479" s="1391"/>
      <c r="D479" s="1391"/>
      <c r="E479" s="1391"/>
      <c r="F479" s="1391"/>
      <c r="G479" s="1391"/>
      <c r="H479" s="1391"/>
      <c r="I479" s="1391"/>
      <c r="J479" s="1479" t="s">
        <v>283</v>
      </c>
      <c r="K479" s="1479"/>
      <c r="L479" s="1424"/>
      <c r="M479" s="1480" t="s">
        <v>507</v>
      </c>
      <c r="N479" s="1480"/>
      <c r="O479" s="1391"/>
      <c r="P479" s="1479" t="s">
        <v>284</v>
      </c>
      <c r="Q479" s="1479"/>
      <c r="R479" s="1391"/>
      <c r="S479" s="1479" t="s">
        <v>285</v>
      </c>
      <c r="T479" s="1479"/>
      <c r="U479" s="1391"/>
      <c r="V479" s="1391"/>
      <c r="W479" s="1481" t="str">
        <f>B479</f>
        <v>DEVELOPMENT BUDGET (cont'd)</v>
      </c>
      <c r="X479" s="1391"/>
    </row>
    <row r="480" spans="1:24">
      <c r="A480" s="1391"/>
      <c r="B480" s="1391"/>
      <c r="C480" s="1391"/>
      <c r="D480" s="1391"/>
      <c r="E480" s="1391"/>
      <c r="F480" s="1391"/>
      <c r="G480" s="340" t="s">
        <v>103</v>
      </c>
      <c r="H480" s="340"/>
      <c r="I480" s="1391"/>
      <c r="J480" s="1479"/>
      <c r="K480" s="1479"/>
      <c r="L480" s="1424"/>
      <c r="M480" s="1480"/>
      <c r="N480" s="1480"/>
      <c r="O480" s="1391"/>
      <c r="P480" s="1479"/>
      <c r="Q480" s="1479"/>
      <c r="R480" s="1391"/>
      <c r="S480" s="1479"/>
      <c r="T480" s="1479"/>
      <c r="U480" s="1391"/>
      <c r="V480" s="1391"/>
      <c r="W480" s="354" t="s">
        <v>2778</v>
      </c>
      <c r="X480" s="354"/>
    </row>
    <row r="481" spans="1:24">
      <c r="A481" s="1391"/>
      <c r="B481" s="340" t="s">
        <v>752</v>
      </c>
      <c r="C481" s="1391"/>
      <c r="D481" s="1391"/>
      <c r="E481" s="1391"/>
      <c r="F481" s="1391"/>
      <c r="G481" s="1391"/>
      <c r="H481" s="1391"/>
      <c r="I481" s="1391"/>
      <c r="J481" s="1395"/>
      <c r="K481" s="1424"/>
      <c r="L481" s="1391"/>
      <c r="M481" s="1395"/>
      <c r="N481" s="1424"/>
      <c r="O481" s="1485" t="str">
        <f>B481</f>
        <v>CONSTRUCTION PERIOD FINANCING</v>
      </c>
      <c r="P481" s="1395"/>
      <c r="Q481" s="1424"/>
      <c r="R481" s="1391"/>
      <c r="S481" s="1395"/>
      <c r="T481" s="1424"/>
      <c r="U481" s="1391"/>
      <c r="V481" s="1391"/>
      <c r="W481" s="1391" t="str">
        <f>B481</f>
        <v>CONSTRUCTION PERIOD FINANCING</v>
      </c>
      <c r="X481" s="1391"/>
    </row>
    <row r="482" spans="1:24">
      <c r="A482" s="1391"/>
      <c r="B482" s="1391" t="s">
        <v>292</v>
      </c>
      <c r="C482" s="1391"/>
      <c r="D482" s="1391"/>
      <c r="E482" s="1391"/>
      <c r="F482" s="1391"/>
      <c r="G482" s="1424">
        <f>'Part IV-Uses of Funds'!G53</f>
        <v>0</v>
      </c>
      <c r="H482" s="1424"/>
      <c r="I482" s="1391"/>
      <c r="J482" s="1424">
        <f>'Part IV-Uses of Funds'!J53</f>
        <v>0</v>
      </c>
      <c r="K482" s="1424"/>
      <c r="L482" s="1395"/>
      <c r="M482" s="1424">
        <f>'Part IV-Uses of Funds'!M53</f>
        <v>0</v>
      </c>
      <c r="N482" s="1424"/>
      <c r="O482" s="1391"/>
      <c r="P482" s="1424">
        <f>'Part IV-Uses of Funds'!P53</f>
        <v>0</v>
      </c>
      <c r="Q482" s="1424"/>
      <c r="R482" s="1391"/>
      <c r="S482" s="1424">
        <f>'Part IV-Uses of Funds'!S53</f>
        <v>0</v>
      </c>
      <c r="T482" s="1424"/>
      <c r="U482" s="1391"/>
      <c r="V482" s="1441">
        <f>'Part IV-Uses of Funds'!V53</f>
        <v>0</v>
      </c>
      <c r="W482" s="1482">
        <f>'Part IV-Uses of Funds'!W53</f>
        <v>0</v>
      </c>
      <c r="X482" s="1482"/>
    </row>
    <row r="483" spans="1:24">
      <c r="A483" s="1391"/>
      <c r="B483" s="1391" t="s">
        <v>2427</v>
      </c>
      <c r="C483" s="1391"/>
      <c r="D483" s="1391"/>
      <c r="E483" s="1391"/>
      <c r="F483" s="1391"/>
      <c r="G483" s="1424">
        <f>'Part IV-Uses of Funds'!G54</f>
        <v>208750</v>
      </c>
      <c r="H483" s="1424"/>
      <c r="I483" s="1391"/>
      <c r="J483" s="1424">
        <f>'Part IV-Uses of Funds'!J54</f>
        <v>0</v>
      </c>
      <c r="K483" s="1424"/>
      <c r="L483" s="1395"/>
      <c r="M483" s="1424">
        <f>'Part IV-Uses of Funds'!M54</f>
        <v>0</v>
      </c>
      <c r="N483" s="1424"/>
      <c r="O483" s="1391"/>
      <c r="P483" s="1424">
        <f>'Part IV-Uses of Funds'!P54</f>
        <v>208750</v>
      </c>
      <c r="Q483" s="1424"/>
      <c r="R483" s="1391"/>
      <c r="S483" s="1424">
        <f>'Part IV-Uses of Funds'!S54</f>
        <v>0</v>
      </c>
      <c r="T483" s="1424"/>
      <c r="U483" s="1391"/>
      <c r="V483" s="1441">
        <f>'Part IV-Uses of Funds'!V54</f>
        <v>0</v>
      </c>
      <c r="W483" s="1482"/>
      <c r="X483" s="1482"/>
    </row>
    <row r="484" spans="1:24">
      <c r="A484" s="1391"/>
      <c r="B484" s="1391" t="s">
        <v>2428</v>
      </c>
      <c r="C484" s="1391"/>
      <c r="D484" s="1391"/>
      <c r="E484" s="1391"/>
      <c r="F484" s="1391"/>
      <c r="G484" s="1424">
        <f>'Part IV-Uses of Funds'!G55</f>
        <v>286405</v>
      </c>
      <c r="H484" s="1424"/>
      <c r="I484" s="1391"/>
      <c r="J484" s="1424">
        <f>'Part IV-Uses of Funds'!J55</f>
        <v>0</v>
      </c>
      <c r="K484" s="1424"/>
      <c r="L484" s="1395"/>
      <c r="M484" s="1424">
        <f>'Part IV-Uses of Funds'!M55</f>
        <v>0</v>
      </c>
      <c r="N484" s="1424"/>
      <c r="O484" s="1391"/>
      <c r="P484" s="1424">
        <f>'Part IV-Uses of Funds'!P55</f>
        <v>214803.75</v>
      </c>
      <c r="Q484" s="1424"/>
      <c r="R484" s="1391"/>
      <c r="S484" s="1424">
        <f>'Part IV-Uses of Funds'!S55</f>
        <v>71601.25</v>
      </c>
      <c r="T484" s="1424"/>
      <c r="U484" s="1391"/>
      <c r="V484" s="1441">
        <f>'Part IV-Uses of Funds'!V55</f>
        <v>0</v>
      </c>
      <c r="W484" s="1482"/>
      <c r="X484" s="1482"/>
    </row>
    <row r="485" spans="1:24">
      <c r="A485" s="1391"/>
      <c r="B485" s="1391" t="s">
        <v>2429</v>
      </c>
      <c r="C485" s="1391"/>
      <c r="D485" s="1391"/>
      <c r="E485" s="1391"/>
      <c r="F485" s="1391"/>
      <c r="G485" s="1424">
        <f>'Part IV-Uses of Funds'!G56</f>
        <v>35500</v>
      </c>
      <c r="H485" s="1424"/>
      <c r="I485" s="1391"/>
      <c r="J485" s="1424">
        <f>'Part IV-Uses of Funds'!J56</f>
        <v>0</v>
      </c>
      <c r="K485" s="1424"/>
      <c r="L485" s="1395"/>
      <c r="M485" s="1424">
        <f>'Part IV-Uses of Funds'!M56</f>
        <v>0</v>
      </c>
      <c r="N485" s="1424"/>
      <c r="O485" s="1391"/>
      <c r="P485" s="1424">
        <f>'Part IV-Uses of Funds'!P56</f>
        <v>35500</v>
      </c>
      <c r="Q485" s="1424"/>
      <c r="R485" s="1391"/>
      <c r="S485" s="1424">
        <f>'Part IV-Uses of Funds'!S56</f>
        <v>0</v>
      </c>
      <c r="T485" s="1424"/>
      <c r="U485" s="1391"/>
      <c r="V485" s="1441">
        <f>'Part IV-Uses of Funds'!V56</f>
        <v>0</v>
      </c>
      <c r="W485" s="1482"/>
      <c r="X485" s="1482"/>
    </row>
    <row r="486" spans="1:24">
      <c r="A486" s="1391"/>
      <c r="B486" s="1391" t="s">
        <v>2787</v>
      </c>
      <c r="C486" s="1391"/>
      <c r="D486" s="1391"/>
      <c r="E486" s="1391"/>
      <c r="F486" s="1391"/>
      <c r="G486" s="1424">
        <f>'Part IV-Uses of Funds'!G57</f>
        <v>19800</v>
      </c>
      <c r="H486" s="1424"/>
      <c r="I486" s="1391"/>
      <c r="J486" s="1424">
        <f>'Part IV-Uses of Funds'!J57</f>
        <v>0</v>
      </c>
      <c r="K486" s="1424"/>
      <c r="L486" s="1395"/>
      <c r="M486" s="1424">
        <f>'Part IV-Uses of Funds'!M57</f>
        <v>0</v>
      </c>
      <c r="N486" s="1424"/>
      <c r="O486" s="1391"/>
      <c r="P486" s="1424">
        <f>'Part IV-Uses of Funds'!P57</f>
        <v>19800</v>
      </c>
      <c r="Q486" s="1424"/>
      <c r="R486" s="1391"/>
      <c r="S486" s="1424">
        <f>'Part IV-Uses of Funds'!S57</f>
        <v>0</v>
      </c>
      <c r="T486" s="1424"/>
      <c r="U486" s="1391"/>
      <c r="V486" s="1441">
        <f>'Part IV-Uses of Funds'!V57</f>
        <v>0</v>
      </c>
      <c r="W486" s="1482"/>
      <c r="X486" s="1482"/>
    </row>
    <row r="487" spans="1:24">
      <c r="A487" s="1391"/>
      <c r="B487" s="1391" t="s">
        <v>753</v>
      </c>
      <c r="C487" s="1391"/>
      <c r="D487" s="1391"/>
      <c r="E487" s="1391"/>
      <c r="F487" s="1391"/>
      <c r="G487" s="1424">
        <f>'Part IV-Uses of Funds'!G58</f>
        <v>159500</v>
      </c>
      <c r="H487" s="1424"/>
      <c r="I487" s="1391"/>
      <c r="J487" s="1424">
        <f>'Part IV-Uses of Funds'!J58</f>
        <v>0</v>
      </c>
      <c r="K487" s="1424"/>
      <c r="L487" s="1395"/>
      <c r="M487" s="1424">
        <f>'Part IV-Uses of Funds'!M58</f>
        <v>0</v>
      </c>
      <c r="N487" s="1424"/>
      <c r="O487" s="1391"/>
      <c r="P487" s="1424">
        <f>'Part IV-Uses of Funds'!P58</f>
        <v>63800</v>
      </c>
      <c r="Q487" s="1424"/>
      <c r="R487" s="1391"/>
      <c r="S487" s="1424">
        <f>'Part IV-Uses of Funds'!S58</f>
        <v>95700</v>
      </c>
      <c r="T487" s="1424"/>
      <c r="U487" s="1391"/>
      <c r="V487" s="1441">
        <f>'Part IV-Uses of Funds'!V58</f>
        <v>0</v>
      </c>
      <c r="W487" s="1482"/>
      <c r="X487" s="1482"/>
    </row>
    <row r="488" spans="1:24">
      <c r="A488" s="1391"/>
      <c r="B488" s="1391" t="s">
        <v>2430</v>
      </c>
      <c r="C488" s="1391"/>
      <c r="D488" s="1391"/>
      <c r="E488" s="1391"/>
      <c r="F488" s="1391"/>
      <c r="G488" s="1424">
        <f>'Part IV-Uses of Funds'!G59</f>
        <v>50000</v>
      </c>
      <c r="H488" s="1424"/>
      <c r="I488" s="1391"/>
      <c r="J488" s="1424">
        <f>'Part IV-Uses of Funds'!J59</f>
        <v>0</v>
      </c>
      <c r="K488" s="1424"/>
      <c r="L488" s="1395"/>
      <c r="M488" s="1424">
        <f>'Part IV-Uses of Funds'!M59</f>
        <v>0</v>
      </c>
      <c r="N488" s="1424"/>
      <c r="O488" s="1391"/>
      <c r="P488" s="1424">
        <f>'Part IV-Uses of Funds'!P59</f>
        <v>50000</v>
      </c>
      <c r="Q488" s="1424"/>
      <c r="R488" s="1391"/>
      <c r="S488" s="1424">
        <f>'Part IV-Uses of Funds'!S59</f>
        <v>0</v>
      </c>
      <c r="T488" s="1424"/>
      <c r="U488" s="1391"/>
      <c r="V488" s="1441">
        <f>'Part IV-Uses of Funds'!V59</f>
        <v>0</v>
      </c>
      <c r="W488" s="1482"/>
      <c r="X488" s="1482"/>
    </row>
    <row r="489" spans="1:24">
      <c r="A489" s="1391"/>
      <c r="B489" s="1391" t="s">
        <v>1323</v>
      </c>
      <c r="C489" s="1391"/>
      <c r="D489" s="1391"/>
      <c r="E489" s="1391"/>
      <c r="F489" s="1391"/>
      <c r="G489" s="1424">
        <f>'Part IV-Uses of Funds'!G60</f>
        <v>107519</v>
      </c>
      <c r="H489" s="1424"/>
      <c r="I489" s="1391"/>
      <c r="J489" s="1424">
        <f>'Part IV-Uses of Funds'!J60</f>
        <v>0</v>
      </c>
      <c r="K489" s="1424"/>
      <c r="L489" s="1395"/>
      <c r="M489" s="1424">
        <f>'Part IV-Uses of Funds'!M60</f>
        <v>0</v>
      </c>
      <c r="N489" s="1424"/>
      <c r="O489" s="1391"/>
      <c r="P489" s="1424">
        <f>'Part IV-Uses of Funds'!P60</f>
        <v>43007.600000000006</v>
      </c>
      <c r="Q489" s="1424"/>
      <c r="R489" s="1391"/>
      <c r="S489" s="1424">
        <f>'Part IV-Uses of Funds'!S60</f>
        <v>64511.399999999994</v>
      </c>
      <c r="T489" s="1424"/>
      <c r="U489" s="1391"/>
      <c r="V489" s="1441">
        <f>'Part IV-Uses of Funds'!V60</f>
        <v>0</v>
      </c>
      <c r="W489" s="1482"/>
      <c r="X489" s="1482"/>
    </row>
    <row r="490" spans="1:24">
      <c r="A490" s="1391"/>
      <c r="B490" s="1489" t="s">
        <v>1195</v>
      </c>
      <c r="C490" s="1391"/>
      <c r="D490" s="443"/>
      <c r="E490" s="443"/>
      <c r="F490" s="1488"/>
      <c r="G490" s="1424">
        <f>'Part IV-Uses of Funds'!G61</f>
        <v>0</v>
      </c>
      <c r="H490" s="1424"/>
      <c r="I490" s="338"/>
      <c r="J490" s="1424">
        <f>'Part IV-Uses of Funds'!J61</f>
        <v>0</v>
      </c>
      <c r="K490" s="1424"/>
      <c r="L490" s="1395"/>
      <c r="M490" s="1424">
        <f>'Part IV-Uses of Funds'!M61</f>
        <v>0</v>
      </c>
      <c r="N490" s="1424"/>
      <c r="O490" s="1391"/>
      <c r="P490" s="1424">
        <f>'Part IV-Uses of Funds'!P61</f>
        <v>0</v>
      </c>
      <c r="Q490" s="1424"/>
      <c r="R490" s="1391"/>
      <c r="S490" s="1424">
        <f>'Part IV-Uses of Funds'!S61</f>
        <v>0</v>
      </c>
      <c r="T490" s="1424"/>
      <c r="U490" s="1391"/>
      <c r="V490" s="1441">
        <f>'Part IV-Uses of Funds'!V61</f>
        <v>0</v>
      </c>
      <c r="W490" s="1482"/>
      <c r="X490" s="1482"/>
    </row>
    <row r="491" spans="1:24" ht="15.75">
      <c r="A491" s="1483" t="str">
        <f>IF(AND(G491&gt;0,OR(C491="",C491="&lt;Enter detailed description here; use Comments section if needed&gt;")),"X","")</f>
        <v/>
      </c>
      <c r="B491" s="1391" t="s">
        <v>771</v>
      </c>
      <c r="C491" s="1391" t="str">
        <f>'Part IV-Uses of Funds'!C62</f>
        <v>Negative Arbitrage</v>
      </c>
      <c r="D491" s="1391"/>
      <c r="E491" s="1391"/>
      <c r="F491" s="1391"/>
      <c r="G491" s="1424">
        <f>'Part IV-Uses of Funds'!G62</f>
        <v>402500</v>
      </c>
      <c r="H491" s="1424"/>
      <c r="I491" s="1391"/>
      <c r="J491" s="1424">
        <f>'Part IV-Uses of Funds'!J62</f>
        <v>0</v>
      </c>
      <c r="K491" s="1424"/>
      <c r="L491" s="1395"/>
      <c r="M491" s="1424">
        <f>'Part IV-Uses of Funds'!M62</f>
        <v>0</v>
      </c>
      <c r="N491" s="1424"/>
      <c r="O491" s="1391"/>
      <c r="P491" s="1424">
        <f>'Part IV-Uses of Funds'!P62</f>
        <v>0</v>
      </c>
      <c r="Q491" s="1424"/>
      <c r="R491" s="1391"/>
      <c r="S491" s="1424">
        <f>'Part IV-Uses of Funds'!S62</f>
        <v>402500</v>
      </c>
      <c r="T491" s="1424"/>
      <c r="U491" s="296" t="str">
        <f>IF(AND(G491&gt;0,OR(C491="",C491="&lt;Enter detailed description here; use Comments section if needed&gt;")),"NO DESCRIPTION PROVIDED - please enter detailed description in Other box at left; use Comments section below if needed.","")</f>
        <v/>
      </c>
      <c r="V491" s="1441">
        <f>'Part IV-Uses of Funds'!V62</f>
        <v>0</v>
      </c>
      <c r="W491" s="1482"/>
      <c r="X491" s="1482"/>
    </row>
    <row r="492" spans="1:24" ht="15.75">
      <c r="A492" s="1483" t="str">
        <f>IF(AND(G492&gt;0,OR(C492="",C492="&lt;Enter detailed description here; use Comments section if needed&gt;")),"X","")</f>
        <v/>
      </c>
      <c r="B492" s="1391" t="s">
        <v>771</v>
      </c>
      <c r="C492" s="1391" t="str">
        <f>'Part IV-Uses of Funds'!C63</f>
        <v>&lt;&lt; Enter description here; provide detail &amp; justification in tab Part IV-b &gt;&gt;</v>
      </c>
      <c r="D492" s="1391"/>
      <c r="E492" s="1391"/>
      <c r="F492" s="1391"/>
      <c r="G492" s="1424">
        <f>'Part IV-Uses of Funds'!G63</f>
        <v>0</v>
      </c>
      <c r="H492" s="1424"/>
      <c r="I492" s="1391"/>
      <c r="J492" s="1424">
        <f>'Part IV-Uses of Funds'!J63</f>
        <v>0</v>
      </c>
      <c r="K492" s="1424"/>
      <c r="L492" s="1395"/>
      <c r="M492" s="1424">
        <f>'Part IV-Uses of Funds'!M63</f>
        <v>0</v>
      </c>
      <c r="N492" s="1424"/>
      <c r="O492" s="1391"/>
      <c r="P492" s="1424">
        <f>'Part IV-Uses of Funds'!P63</f>
        <v>0</v>
      </c>
      <c r="Q492" s="1424"/>
      <c r="R492" s="1391"/>
      <c r="S492" s="1424">
        <f>'Part IV-Uses of Funds'!S63</f>
        <v>0</v>
      </c>
      <c r="T492" s="1424"/>
      <c r="U492" s="296" t="str">
        <f>IF(AND(G492&gt;0,OR(C492="",C492="&lt;Enter detailed description here; use Comments section if needed&gt;")),"NO DESCRIPTION PROVIDED - please enter detailed description in Other box at left; use Comments section below if needed.","")</f>
        <v/>
      </c>
      <c r="V492" s="1441">
        <f>'Part IV-Uses of Funds'!V63</f>
        <v>0</v>
      </c>
      <c r="W492" s="1482"/>
      <c r="X492" s="1482"/>
    </row>
    <row r="493" spans="1:24">
      <c r="A493" s="1391"/>
      <c r="B493" s="1391"/>
      <c r="C493" s="1391"/>
      <c r="D493" s="1391"/>
      <c r="E493" s="1391"/>
      <c r="F493" s="1484" t="s">
        <v>197</v>
      </c>
      <c r="G493" s="1424">
        <f>SUM(G482:H492)</f>
        <v>1269974</v>
      </c>
      <c r="H493" s="1424"/>
      <c r="I493" s="1391"/>
      <c r="J493" s="1424">
        <f>SUM(J482:K492)</f>
        <v>0</v>
      </c>
      <c r="K493" s="1424"/>
      <c r="L493" s="1395"/>
      <c r="M493" s="1424">
        <f>SUM(M482:N492)</f>
        <v>0</v>
      </c>
      <c r="N493" s="1424"/>
      <c r="O493" s="1391"/>
      <c r="P493" s="1424">
        <f>SUM(P482:Q492)</f>
        <v>635661.35</v>
      </c>
      <c r="Q493" s="1424"/>
      <c r="R493" s="1391"/>
      <c r="S493" s="1424">
        <f>SUM(S482:T492)</f>
        <v>634312.65</v>
      </c>
      <c r="T493" s="1424"/>
      <c r="U493" s="1391"/>
      <c r="V493" s="1441">
        <f>SUM(V482:V492)</f>
        <v>0</v>
      </c>
      <c r="W493" s="1482"/>
      <c r="X493" s="1482"/>
    </row>
    <row r="494" spans="1:24">
      <c r="A494" s="1391"/>
      <c r="B494" s="340" t="s">
        <v>493</v>
      </c>
      <c r="C494" s="1391"/>
      <c r="D494" s="1391"/>
      <c r="E494" s="1391"/>
      <c r="F494" s="1391"/>
      <c r="G494" s="1424"/>
      <c r="H494" s="1424"/>
      <c r="I494" s="1391"/>
      <c r="J494" s="1424"/>
      <c r="K494" s="1424"/>
      <c r="L494" s="1391"/>
      <c r="M494" s="1424"/>
      <c r="N494" s="1424"/>
      <c r="O494" s="1485" t="str">
        <f>B494</f>
        <v>PROFESSIONAL SERVICES</v>
      </c>
      <c r="P494" s="1424"/>
      <c r="Q494" s="1424"/>
      <c r="R494" s="1391"/>
      <c r="S494" s="1424"/>
      <c r="T494" s="1424"/>
      <c r="U494" s="1391"/>
      <c r="V494" s="1391"/>
      <c r="W494" s="1391" t="str">
        <f>B494</f>
        <v>PROFESSIONAL SERVICES</v>
      </c>
      <c r="X494" s="1391"/>
    </row>
    <row r="495" spans="1:24">
      <c r="A495" s="1391"/>
      <c r="B495" s="1391" t="s">
        <v>494</v>
      </c>
      <c r="C495" s="1391"/>
      <c r="D495" s="1391"/>
      <c r="E495" s="1391"/>
      <c r="F495" s="1391"/>
      <c r="G495" s="1424">
        <f>'Part IV-Uses of Funds'!G66</f>
        <v>325000</v>
      </c>
      <c r="H495" s="1424"/>
      <c r="I495" s="1391"/>
      <c r="J495" s="1424">
        <f>'Part IV-Uses of Funds'!J66</f>
        <v>0</v>
      </c>
      <c r="K495" s="1424"/>
      <c r="L495" s="1395"/>
      <c r="M495" s="1424">
        <f>'Part IV-Uses of Funds'!M66</f>
        <v>0</v>
      </c>
      <c r="N495" s="1424"/>
      <c r="O495" s="1391"/>
      <c r="P495" s="1424">
        <f>'Part IV-Uses of Funds'!P66</f>
        <v>325000</v>
      </c>
      <c r="Q495" s="1424"/>
      <c r="R495" s="1391"/>
      <c r="S495" s="1424">
        <f>'Part IV-Uses of Funds'!S66</f>
        <v>0</v>
      </c>
      <c r="T495" s="1424"/>
      <c r="U495" s="1391"/>
      <c r="V495" s="1441">
        <f>'Part IV-Uses of Funds'!V66</f>
        <v>0</v>
      </c>
      <c r="W495" s="1482">
        <f>'Part IV-Uses of Funds'!W66</f>
        <v>0</v>
      </c>
      <c r="X495" s="1482"/>
    </row>
    <row r="496" spans="1:24">
      <c r="A496" s="1391"/>
      <c r="B496" s="1391" t="s">
        <v>495</v>
      </c>
      <c r="C496" s="1391"/>
      <c r="D496" s="1391"/>
      <c r="E496" s="1391"/>
      <c r="F496" s="1391"/>
      <c r="G496" s="1424">
        <f>'Part IV-Uses of Funds'!G67</f>
        <v>71200</v>
      </c>
      <c r="H496" s="1424"/>
      <c r="I496" s="1391"/>
      <c r="J496" s="1424">
        <f>'Part IV-Uses of Funds'!J67</f>
        <v>0</v>
      </c>
      <c r="K496" s="1424"/>
      <c r="L496" s="1395"/>
      <c r="M496" s="1424">
        <f>'Part IV-Uses of Funds'!M67</f>
        <v>0</v>
      </c>
      <c r="N496" s="1424"/>
      <c r="O496" s="1391"/>
      <c r="P496" s="1424">
        <f>'Part IV-Uses of Funds'!P67</f>
        <v>71200</v>
      </c>
      <c r="Q496" s="1424"/>
      <c r="R496" s="1391"/>
      <c r="S496" s="1424">
        <f>'Part IV-Uses of Funds'!S67</f>
        <v>0</v>
      </c>
      <c r="T496" s="1424"/>
      <c r="U496" s="1391"/>
      <c r="V496" s="1441">
        <f>'Part IV-Uses of Funds'!V67</f>
        <v>0</v>
      </c>
      <c r="W496" s="1482"/>
      <c r="X496" s="1482"/>
    </row>
    <row r="497" spans="1:24">
      <c r="A497" s="1391"/>
      <c r="B497" s="1391" t="s">
        <v>1166</v>
      </c>
      <c r="C497" s="1391"/>
      <c r="D497" s="1391"/>
      <c r="E497" s="1391"/>
      <c r="F497" s="1391" t="s">
        <v>2875</v>
      </c>
      <c r="G497" s="1424">
        <f>'Part IV-Uses of Funds'!G68</f>
        <v>0</v>
      </c>
      <c r="H497" s="1424"/>
      <c r="I497" s="1391"/>
      <c r="J497" s="1424">
        <f>'Part IV-Uses of Funds'!J68</f>
        <v>0</v>
      </c>
      <c r="K497" s="1424"/>
      <c r="L497" s="1395"/>
      <c r="M497" s="1424">
        <f>'Part IV-Uses of Funds'!M68</f>
        <v>0</v>
      </c>
      <c r="N497" s="1424"/>
      <c r="O497" s="1391"/>
      <c r="P497" s="1424">
        <f>'Part IV-Uses of Funds'!P68</f>
        <v>0</v>
      </c>
      <c r="Q497" s="1424"/>
      <c r="R497" s="1391"/>
      <c r="S497" s="1424">
        <f>'Part IV-Uses of Funds'!S68</f>
        <v>0</v>
      </c>
      <c r="T497" s="1424"/>
      <c r="U497" s="1391"/>
      <c r="V497" s="1441">
        <f>'Part IV-Uses of Funds'!V68</f>
        <v>0</v>
      </c>
      <c r="W497" s="1482"/>
      <c r="X497" s="1482"/>
    </row>
    <row r="498" spans="1:24">
      <c r="A498" s="1391"/>
      <c r="B498" s="1391" t="s">
        <v>1167</v>
      </c>
      <c r="C498" s="1391"/>
      <c r="D498" s="1391"/>
      <c r="E498" s="1391"/>
      <c r="F498" s="1391"/>
      <c r="G498" s="1424">
        <f>'Part IV-Uses of Funds'!G69</f>
        <v>0</v>
      </c>
      <c r="H498" s="1424"/>
      <c r="I498" s="1391"/>
      <c r="J498" s="1424">
        <f>'Part IV-Uses of Funds'!J69</f>
        <v>0</v>
      </c>
      <c r="K498" s="1424"/>
      <c r="L498" s="1395"/>
      <c r="M498" s="1424">
        <f>'Part IV-Uses of Funds'!M69</f>
        <v>0</v>
      </c>
      <c r="N498" s="1424"/>
      <c r="O498" s="1391"/>
      <c r="P498" s="1424">
        <f>'Part IV-Uses of Funds'!P69</f>
        <v>0</v>
      </c>
      <c r="Q498" s="1424"/>
      <c r="R498" s="1391"/>
      <c r="S498" s="1424">
        <f>'Part IV-Uses of Funds'!S69</f>
        <v>0</v>
      </c>
      <c r="T498" s="1424"/>
      <c r="U498" s="1391"/>
      <c r="V498" s="1441">
        <f>'Part IV-Uses of Funds'!V69</f>
        <v>0</v>
      </c>
      <c r="W498" s="1482"/>
      <c r="X498" s="1482"/>
    </row>
    <row r="499" spans="1:24">
      <c r="A499" s="1391"/>
      <c r="B499" s="1391" t="s">
        <v>1168</v>
      </c>
      <c r="C499" s="1391"/>
      <c r="D499" s="1391"/>
      <c r="E499" s="1391"/>
      <c r="F499" s="1391"/>
      <c r="G499" s="1424">
        <f>'Part IV-Uses of Funds'!G70</f>
        <v>5400</v>
      </c>
      <c r="H499" s="1424"/>
      <c r="I499" s="1391"/>
      <c r="J499" s="1424">
        <f>'Part IV-Uses of Funds'!J70</f>
        <v>0</v>
      </c>
      <c r="K499" s="1424"/>
      <c r="L499" s="1395"/>
      <c r="M499" s="1424">
        <f>'Part IV-Uses of Funds'!M70</f>
        <v>0</v>
      </c>
      <c r="N499" s="1424"/>
      <c r="O499" s="1391"/>
      <c r="P499" s="1424">
        <f>'Part IV-Uses of Funds'!P70</f>
        <v>5400</v>
      </c>
      <c r="Q499" s="1424"/>
      <c r="R499" s="1391"/>
      <c r="S499" s="1424">
        <f>'Part IV-Uses of Funds'!S70</f>
        <v>0</v>
      </c>
      <c r="T499" s="1424"/>
      <c r="U499" s="1391"/>
      <c r="V499" s="1441">
        <f>'Part IV-Uses of Funds'!V70</f>
        <v>0</v>
      </c>
      <c r="W499" s="1482"/>
      <c r="X499" s="1482"/>
    </row>
    <row r="500" spans="1:24">
      <c r="A500" s="1391"/>
      <c r="B500" s="1391" t="s">
        <v>1169</v>
      </c>
      <c r="C500" s="1391"/>
      <c r="D500" s="1391"/>
      <c r="E500" s="1391"/>
      <c r="F500" s="1391"/>
      <c r="G500" s="1424">
        <f>'Part IV-Uses of Funds'!G71</f>
        <v>0</v>
      </c>
      <c r="H500" s="1424"/>
      <c r="I500" s="1391"/>
      <c r="J500" s="1424">
        <f>'Part IV-Uses of Funds'!J71</f>
        <v>0</v>
      </c>
      <c r="K500" s="1424"/>
      <c r="L500" s="1395"/>
      <c r="M500" s="1424">
        <f>'Part IV-Uses of Funds'!M71</f>
        <v>0</v>
      </c>
      <c r="N500" s="1424"/>
      <c r="O500" s="1391"/>
      <c r="P500" s="1424">
        <f>'Part IV-Uses of Funds'!P71</f>
        <v>0</v>
      </c>
      <c r="Q500" s="1424"/>
      <c r="R500" s="1391"/>
      <c r="S500" s="1424">
        <f>'Part IV-Uses of Funds'!S71</f>
        <v>0</v>
      </c>
      <c r="T500" s="1424"/>
      <c r="U500" s="1391"/>
      <c r="V500" s="1441">
        <f>'Part IV-Uses of Funds'!V71</f>
        <v>0</v>
      </c>
      <c r="W500" s="1482"/>
      <c r="X500" s="1482"/>
    </row>
    <row r="501" spans="1:24">
      <c r="A501" s="1391"/>
      <c r="B501" s="1391" t="s">
        <v>496</v>
      </c>
      <c r="C501" s="1391"/>
      <c r="D501" s="1391"/>
      <c r="E501" s="1391"/>
      <c r="F501" s="1391"/>
      <c r="G501" s="1424">
        <f>'Part IV-Uses of Funds'!G72</f>
        <v>0</v>
      </c>
      <c r="H501" s="1424"/>
      <c r="I501" s="1391"/>
      <c r="J501" s="1424">
        <f>'Part IV-Uses of Funds'!J72</f>
        <v>0</v>
      </c>
      <c r="K501" s="1424"/>
      <c r="L501" s="1395"/>
      <c r="M501" s="1424">
        <f>'Part IV-Uses of Funds'!M72</f>
        <v>0</v>
      </c>
      <c r="N501" s="1424"/>
      <c r="O501" s="1391"/>
      <c r="P501" s="1424">
        <f>'Part IV-Uses of Funds'!P72</f>
        <v>0</v>
      </c>
      <c r="Q501" s="1424"/>
      <c r="R501" s="1391"/>
      <c r="S501" s="1424">
        <f>'Part IV-Uses of Funds'!S72</f>
        <v>0</v>
      </c>
      <c r="T501" s="1424"/>
      <c r="U501" s="1391"/>
      <c r="V501" s="1441">
        <f>'Part IV-Uses of Funds'!V72</f>
        <v>0</v>
      </c>
      <c r="W501" s="1482"/>
      <c r="X501" s="1482"/>
    </row>
    <row r="502" spans="1:24">
      <c r="A502" s="1391"/>
      <c r="B502" s="1391" t="s">
        <v>497</v>
      </c>
      <c r="C502" s="1391"/>
      <c r="D502" s="1391"/>
      <c r="E502" s="1391"/>
      <c r="F502" s="1391"/>
      <c r="G502" s="1424">
        <f>'Part IV-Uses of Funds'!G73</f>
        <v>100000</v>
      </c>
      <c r="H502" s="1424"/>
      <c r="I502" s="1391"/>
      <c r="J502" s="1424">
        <f>'Part IV-Uses of Funds'!J73</f>
        <v>0</v>
      </c>
      <c r="K502" s="1424"/>
      <c r="L502" s="1395"/>
      <c r="M502" s="1424">
        <f>'Part IV-Uses of Funds'!M73</f>
        <v>0</v>
      </c>
      <c r="N502" s="1424"/>
      <c r="O502" s="1391"/>
      <c r="P502" s="1424">
        <f>'Part IV-Uses of Funds'!P73</f>
        <v>100000</v>
      </c>
      <c r="Q502" s="1424"/>
      <c r="R502" s="1391"/>
      <c r="S502" s="1424">
        <f>'Part IV-Uses of Funds'!S73</f>
        <v>0</v>
      </c>
      <c r="T502" s="1424"/>
      <c r="U502" s="1391"/>
      <c r="V502" s="1441">
        <f>'Part IV-Uses of Funds'!V73</f>
        <v>0</v>
      </c>
      <c r="W502" s="1482"/>
      <c r="X502" s="1482"/>
    </row>
    <row r="503" spans="1:24">
      <c r="A503" s="1391"/>
      <c r="B503" s="1391" t="s">
        <v>2127</v>
      </c>
      <c r="C503" s="1391"/>
      <c r="D503" s="1391"/>
      <c r="E503" s="1391"/>
      <c r="F503" s="1391"/>
      <c r="G503" s="1424">
        <f>'Part IV-Uses of Funds'!G74</f>
        <v>21000</v>
      </c>
      <c r="H503" s="1424"/>
      <c r="I503" s="1391"/>
      <c r="J503" s="1424">
        <f>'Part IV-Uses of Funds'!J74</f>
        <v>0</v>
      </c>
      <c r="K503" s="1424"/>
      <c r="L503" s="1395"/>
      <c r="M503" s="1424">
        <f>'Part IV-Uses of Funds'!M74</f>
        <v>0</v>
      </c>
      <c r="N503" s="1424"/>
      <c r="O503" s="1391"/>
      <c r="P503" s="1424">
        <f>'Part IV-Uses of Funds'!P74</f>
        <v>0</v>
      </c>
      <c r="Q503" s="1424"/>
      <c r="R503" s="1391"/>
      <c r="S503" s="1424">
        <f>'Part IV-Uses of Funds'!S74</f>
        <v>21000</v>
      </c>
      <c r="T503" s="1424"/>
      <c r="U503" s="1391"/>
      <c r="V503" s="1441">
        <f>'Part IV-Uses of Funds'!V74</f>
        <v>0</v>
      </c>
      <c r="W503" s="1482"/>
      <c r="X503" s="1482"/>
    </row>
    <row r="504" spans="1:24">
      <c r="A504" s="1391"/>
      <c r="B504" s="1391" t="s">
        <v>1324</v>
      </c>
      <c r="C504" s="1391"/>
      <c r="D504" s="1391"/>
      <c r="E504" s="1391"/>
      <c r="F504" s="1391"/>
      <c r="G504" s="1424">
        <f>'Part IV-Uses of Funds'!G75</f>
        <v>0</v>
      </c>
      <c r="H504" s="1424"/>
      <c r="I504" s="1391"/>
      <c r="J504" s="1424">
        <f>'Part IV-Uses of Funds'!J75</f>
        <v>0</v>
      </c>
      <c r="K504" s="1424"/>
      <c r="L504" s="1395"/>
      <c r="M504" s="1424">
        <f>'Part IV-Uses of Funds'!M75</f>
        <v>0</v>
      </c>
      <c r="N504" s="1424"/>
      <c r="O504" s="1391"/>
      <c r="P504" s="1424">
        <f>'Part IV-Uses of Funds'!P75</f>
        <v>0</v>
      </c>
      <c r="Q504" s="1424"/>
      <c r="R504" s="1391"/>
      <c r="S504" s="1424">
        <f>'Part IV-Uses of Funds'!S75</f>
        <v>0</v>
      </c>
      <c r="T504" s="1424"/>
      <c r="U504" s="1391"/>
      <c r="V504" s="1441">
        <f>'Part IV-Uses of Funds'!V75</f>
        <v>0</v>
      </c>
      <c r="W504" s="1482"/>
      <c r="X504" s="1482"/>
    </row>
    <row r="505" spans="1:24" ht="15.75">
      <c r="A505" s="1483" t="str">
        <f>IF(AND(G505&gt;0,OR(C505="",C505="&lt;Enter detailed description here; use Comments section if needed&gt;")),"X","")</f>
        <v/>
      </c>
      <c r="B505" s="1391" t="s">
        <v>771</v>
      </c>
      <c r="C505" s="1391" t="str">
        <f>'Part IV-Uses of Funds'!C76</f>
        <v>Asbestos Abatement</v>
      </c>
      <c r="D505" s="1391"/>
      <c r="E505" s="1391"/>
      <c r="F505" s="1391"/>
      <c r="G505" s="1424">
        <f>'Part IV-Uses of Funds'!G76</f>
        <v>72500</v>
      </c>
      <c r="H505" s="1424"/>
      <c r="I505" s="1391"/>
      <c r="J505" s="1424">
        <f>'Part IV-Uses of Funds'!J76</f>
        <v>0</v>
      </c>
      <c r="K505" s="1424"/>
      <c r="L505" s="1395"/>
      <c r="M505" s="1424">
        <f>'Part IV-Uses of Funds'!M76</f>
        <v>0</v>
      </c>
      <c r="N505" s="1424"/>
      <c r="O505" s="1391"/>
      <c r="P505" s="1424">
        <f>'Part IV-Uses of Funds'!P76</f>
        <v>72500</v>
      </c>
      <c r="Q505" s="1424"/>
      <c r="R505" s="1391"/>
      <c r="S505" s="1424">
        <f>'Part IV-Uses of Funds'!S76</f>
        <v>0</v>
      </c>
      <c r="T505" s="1424"/>
      <c r="U505" s="296" t="str">
        <f>IF(AND(G505&gt;0,OR(C505="",C505="&lt;Enter detailed description here; use Comments section if needed&gt;")),"NO DESCRIPTION PROVIDED - please enter detailed description in Other box at left; use Comments section below if needed.","")</f>
        <v/>
      </c>
      <c r="V505" s="1441">
        <f>'Part IV-Uses of Funds'!V76</f>
        <v>0</v>
      </c>
      <c r="W505" s="1482"/>
      <c r="X505" s="1482"/>
    </row>
    <row r="506" spans="1:24">
      <c r="A506" s="1391"/>
      <c r="B506" s="1391"/>
      <c r="C506" s="1391"/>
      <c r="D506" s="1391"/>
      <c r="E506" s="1391"/>
      <c r="F506" s="1484" t="s">
        <v>197</v>
      </c>
      <c r="G506" s="1424">
        <f>SUM(G495:H505)</f>
        <v>595100</v>
      </c>
      <c r="H506" s="1424"/>
      <c r="I506" s="1391"/>
      <c r="J506" s="1424">
        <f>SUM(J495:K505)</f>
        <v>0</v>
      </c>
      <c r="K506" s="1424"/>
      <c r="L506" s="1395"/>
      <c r="M506" s="1424">
        <f>SUM(M495:N505)</f>
        <v>0</v>
      </c>
      <c r="N506" s="1424"/>
      <c r="O506" s="1391"/>
      <c r="P506" s="1424">
        <f>SUM(P495:Q505)</f>
        <v>574100</v>
      </c>
      <c r="Q506" s="1424"/>
      <c r="R506" s="1391"/>
      <c r="S506" s="1424">
        <f>SUM(S495:T505)</f>
        <v>21000</v>
      </c>
      <c r="T506" s="1424"/>
      <c r="U506" s="1391"/>
      <c r="V506" s="1441">
        <f>SUM(V495:V505)</f>
        <v>0</v>
      </c>
      <c r="W506" s="1482"/>
      <c r="X506" s="1482"/>
    </row>
    <row r="507" spans="1:24">
      <c r="A507" s="1391"/>
      <c r="B507" s="340" t="s">
        <v>1316</v>
      </c>
      <c r="C507" s="1391"/>
      <c r="D507" s="1391"/>
      <c r="E507" s="1391"/>
      <c r="F507" s="1391"/>
      <c r="G507" s="1391"/>
      <c r="H507" s="1391"/>
      <c r="I507" s="1391"/>
      <c r="J507" s="1395"/>
      <c r="K507" s="1395"/>
      <c r="L507" s="338"/>
      <c r="M507" s="1395"/>
      <c r="N507" s="1395"/>
      <c r="O507" s="1485" t="str">
        <f>B507</f>
        <v>LOCAL GOVERNMENT FEES</v>
      </c>
      <c r="P507" s="1395"/>
      <c r="Q507" s="1395"/>
      <c r="R507" s="338"/>
      <c r="S507" s="1395"/>
      <c r="T507" s="1395"/>
      <c r="U507" s="338"/>
      <c r="V507" s="338"/>
      <c r="W507" s="1391" t="str">
        <f>B507</f>
        <v>LOCAL GOVERNMENT FEES</v>
      </c>
      <c r="X507" s="338"/>
    </row>
    <row r="508" spans="1:24">
      <c r="A508" s="1391"/>
      <c r="B508" s="1391" t="s">
        <v>1317</v>
      </c>
      <c r="C508" s="1391"/>
      <c r="D508" s="1391"/>
      <c r="E508" s="1391"/>
      <c r="F508" s="1391"/>
      <c r="G508" s="1424">
        <f>'Part IV-Uses of Funds'!G79</f>
        <v>192540</v>
      </c>
      <c r="H508" s="1424"/>
      <c r="I508" s="1391"/>
      <c r="J508" s="1424">
        <f>'Part IV-Uses of Funds'!J79</f>
        <v>0</v>
      </c>
      <c r="K508" s="1424"/>
      <c r="L508" s="1395"/>
      <c r="M508" s="1424">
        <f>'Part IV-Uses of Funds'!M79</f>
        <v>0</v>
      </c>
      <c r="N508" s="1424"/>
      <c r="O508" s="1391"/>
      <c r="P508" s="1424">
        <f>'Part IV-Uses of Funds'!P79</f>
        <v>192540</v>
      </c>
      <c r="Q508" s="1424"/>
      <c r="R508" s="1391"/>
      <c r="S508" s="1424">
        <f>'Part IV-Uses of Funds'!S79</f>
        <v>0</v>
      </c>
      <c r="T508" s="1424"/>
      <c r="U508" s="1391"/>
      <c r="V508" s="1441">
        <f>'Part IV-Uses of Funds'!V79</f>
        <v>0</v>
      </c>
      <c r="W508" s="1477">
        <f>'Part IV-Uses of Funds'!W79</f>
        <v>0</v>
      </c>
      <c r="X508" s="1477"/>
    </row>
    <row r="509" spans="1:24">
      <c r="A509" s="1391"/>
      <c r="B509" s="1391" t="s">
        <v>1318</v>
      </c>
      <c r="C509" s="1391"/>
      <c r="D509" s="1391"/>
      <c r="E509" s="1391"/>
      <c r="F509" s="1391"/>
      <c r="G509" s="1424">
        <f>'Part IV-Uses of Funds'!G80</f>
        <v>0</v>
      </c>
      <c r="H509" s="1424"/>
      <c r="I509" s="1391"/>
      <c r="J509" s="1424">
        <f>'Part IV-Uses of Funds'!J80</f>
        <v>0</v>
      </c>
      <c r="K509" s="1424"/>
      <c r="L509" s="1395"/>
      <c r="M509" s="1424">
        <f>'Part IV-Uses of Funds'!M80</f>
        <v>0</v>
      </c>
      <c r="N509" s="1424"/>
      <c r="O509" s="1391"/>
      <c r="P509" s="1424">
        <f>'Part IV-Uses of Funds'!P80</f>
        <v>0</v>
      </c>
      <c r="Q509" s="1424"/>
      <c r="R509" s="1391"/>
      <c r="S509" s="1424">
        <f>'Part IV-Uses of Funds'!S80</f>
        <v>0</v>
      </c>
      <c r="T509" s="1424"/>
      <c r="U509" s="1391"/>
      <c r="V509" s="1441">
        <f>'Part IV-Uses of Funds'!V80</f>
        <v>0</v>
      </c>
      <c r="W509" s="1477"/>
      <c r="X509" s="1477"/>
    </row>
    <row r="510" spans="1:24">
      <c r="A510" s="1391"/>
      <c r="B510" s="1391" t="s">
        <v>1319</v>
      </c>
      <c r="C510" s="1391"/>
      <c r="D510" s="1497" t="s">
        <v>1455</v>
      </c>
      <c r="E510" s="1498" t="str">
        <f>'Part IV-Uses of Funds'!E81</f>
        <v>No</v>
      </c>
      <c r="F510" s="1391"/>
      <c r="G510" s="1424">
        <f>'Part IV-Uses of Funds'!G81</f>
        <v>0</v>
      </c>
      <c r="H510" s="1424"/>
      <c r="I510" s="338"/>
      <c r="J510" s="1424">
        <f>'Part IV-Uses of Funds'!J81</f>
        <v>0</v>
      </c>
      <c r="K510" s="1424"/>
      <c r="L510" s="1395"/>
      <c r="M510" s="1424">
        <f>'Part IV-Uses of Funds'!M81</f>
        <v>0</v>
      </c>
      <c r="N510" s="1424"/>
      <c r="O510" s="1391"/>
      <c r="P510" s="1424">
        <f>'Part IV-Uses of Funds'!P81</f>
        <v>0</v>
      </c>
      <c r="Q510" s="1424"/>
      <c r="R510" s="1391"/>
      <c r="S510" s="1424">
        <f>'Part IV-Uses of Funds'!S81</f>
        <v>0</v>
      </c>
      <c r="T510" s="1424"/>
      <c r="U510" s="1391"/>
      <c r="V510" s="1441">
        <f>'Part IV-Uses of Funds'!V81</f>
        <v>0</v>
      </c>
      <c r="W510" s="1477"/>
      <c r="X510" s="1477"/>
    </row>
    <row r="511" spans="1:24">
      <c r="A511" s="1391"/>
      <c r="B511" s="1391" t="s">
        <v>1320</v>
      </c>
      <c r="C511" s="1391"/>
      <c r="D511" s="1497" t="s">
        <v>1455</v>
      </c>
      <c r="E511" s="1498" t="str">
        <f>'Part IV-Uses of Funds'!E82</f>
        <v>No</v>
      </c>
      <c r="F511" s="1391"/>
      <c r="G511" s="1424">
        <f>'Part IV-Uses of Funds'!G82</f>
        <v>0</v>
      </c>
      <c r="H511" s="1424"/>
      <c r="I511" s="338"/>
      <c r="J511" s="1424">
        <f>'Part IV-Uses of Funds'!J82</f>
        <v>0</v>
      </c>
      <c r="K511" s="1424"/>
      <c r="L511" s="1395"/>
      <c r="M511" s="1424">
        <f>'Part IV-Uses of Funds'!M82</f>
        <v>0</v>
      </c>
      <c r="N511" s="1424"/>
      <c r="O511" s="1391"/>
      <c r="P511" s="1424">
        <f>'Part IV-Uses of Funds'!P82</f>
        <v>0</v>
      </c>
      <c r="Q511" s="1424"/>
      <c r="R511" s="1391"/>
      <c r="S511" s="1424">
        <f>'Part IV-Uses of Funds'!S82</f>
        <v>0</v>
      </c>
      <c r="T511" s="1424"/>
      <c r="U511" s="1391"/>
      <c r="V511" s="1441">
        <f>'Part IV-Uses of Funds'!V82</f>
        <v>0</v>
      </c>
      <c r="W511" s="1477"/>
      <c r="X511" s="1477"/>
    </row>
    <row r="512" spans="1:24">
      <c r="A512" s="1391"/>
      <c r="B512" s="1391"/>
      <c r="C512" s="1391"/>
      <c r="D512" s="1391"/>
      <c r="E512" s="1391"/>
      <c r="F512" s="1484" t="s">
        <v>197</v>
      </c>
      <c r="G512" s="1424">
        <f>SUM(G508:H511)</f>
        <v>192540</v>
      </c>
      <c r="H512" s="1424"/>
      <c r="I512" s="1391"/>
      <c r="J512" s="1424">
        <f>SUM(J508:K511)</f>
        <v>0</v>
      </c>
      <c r="K512" s="1424"/>
      <c r="L512" s="1395"/>
      <c r="M512" s="1424">
        <f>SUM(M508:N511)</f>
        <v>0</v>
      </c>
      <c r="N512" s="1424"/>
      <c r="O512" s="1391"/>
      <c r="P512" s="1424">
        <f>SUM(P508:Q511)</f>
        <v>192540</v>
      </c>
      <c r="Q512" s="1424"/>
      <c r="R512" s="1391"/>
      <c r="S512" s="1424">
        <f>SUM(S508:T511)</f>
        <v>0</v>
      </c>
      <c r="T512" s="1424"/>
      <c r="U512" s="1391"/>
      <c r="V512" s="1441">
        <f>SUM(V508:V511)</f>
        <v>0</v>
      </c>
      <c r="W512" s="1477"/>
      <c r="X512" s="1477"/>
    </row>
    <row r="513" spans="1:24">
      <c r="A513" s="1391"/>
      <c r="B513" s="340" t="s">
        <v>754</v>
      </c>
      <c r="C513" s="1391"/>
      <c r="D513" s="1391"/>
      <c r="E513" s="1391"/>
      <c r="F513" s="1391"/>
      <c r="G513" s="1391"/>
      <c r="H513" s="1391"/>
      <c r="I513" s="1391"/>
      <c r="J513" s="1395"/>
      <c r="K513" s="1395"/>
      <c r="L513" s="1391"/>
      <c r="M513" s="1395"/>
      <c r="N513" s="1395"/>
      <c r="O513" s="1485" t="str">
        <f>B513</f>
        <v>PERMANENT FINANCING FEES</v>
      </c>
      <c r="P513" s="1395"/>
      <c r="Q513" s="1395"/>
      <c r="R513" s="1391"/>
      <c r="S513" s="1395"/>
      <c r="T513" s="1395"/>
      <c r="U513" s="1391"/>
      <c r="V513" s="1391"/>
      <c r="W513" s="1391" t="str">
        <f>B513</f>
        <v>PERMANENT FINANCING FEES</v>
      </c>
      <c r="X513" s="1391"/>
    </row>
    <row r="514" spans="1:24">
      <c r="A514" s="1391"/>
      <c r="B514" s="1391" t="s">
        <v>1321</v>
      </c>
      <c r="C514" s="1391"/>
      <c r="D514" s="1391"/>
      <c r="E514" s="1391"/>
      <c r="F514" s="1391"/>
      <c r="G514" s="1424">
        <f>'Part IV-Uses of Funds'!G85</f>
        <v>0</v>
      </c>
      <c r="H514" s="1424"/>
      <c r="I514" s="1391"/>
      <c r="J514" s="1424"/>
      <c r="K514" s="1424"/>
      <c r="L514" s="1395"/>
      <c r="M514" s="1424"/>
      <c r="N514" s="1424"/>
      <c r="O514" s="1391"/>
      <c r="P514" s="1424"/>
      <c r="Q514" s="1424"/>
      <c r="R514" s="1391"/>
      <c r="S514" s="1424">
        <f>'Part IV-Uses of Funds'!S85</f>
        <v>0</v>
      </c>
      <c r="T514" s="1424"/>
      <c r="U514" s="1391"/>
      <c r="V514" s="1441">
        <f>'Part IV-Uses of Funds'!V85</f>
        <v>0</v>
      </c>
      <c r="W514" s="1477">
        <f>'Part IV-Uses of Funds'!W85</f>
        <v>0</v>
      </c>
      <c r="X514" s="1477"/>
    </row>
    <row r="515" spans="1:24">
      <c r="A515" s="1391"/>
      <c r="B515" s="1391" t="s">
        <v>1322</v>
      </c>
      <c r="C515" s="1391"/>
      <c r="D515" s="1391"/>
      <c r="E515" s="1391"/>
      <c r="F515" s="1391"/>
      <c r="G515" s="1424">
        <f>'Part IV-Uses of Funds'!G86</f>
        <v>0</v>
      </c>
      <c r="H515" s="1424"/>
      <c r="I515" s="1391"/>
      <c r="J515" s="1424"/>
      <c r="K515" s="1424"/>
      <c r="L515" s="1395"/>
      <c r="M515" s="1424"/>
      <c r="N515" s="1424"/>
      <c r="O515" s="1391"/>
      <c r="P515" s="1424"/>
      <c r="Q515" s="1424"/>
      <c r="R515" s="1391"/>
      <c r="S515" s="1424">
        <f>'Part IV-Uses of Funds'!S86</f>
        <v>0</v>
      </c>
      <c r="T515" s="1424"/>
      <c r="U515" s="1391"/>
      <c r="V515" s="1441">
        <f>'Part IV-Uses of Funds'!V86</f>
        <v>0</v>
      </c>
      <c r="W515" s="1477"/>
      <c r="X515" s="1477"/>
    </row>
    <row r="516" spans="1:24">
      <c r="A516" s="1391"/>
      <c r="B516" s="1391" t="s">
        <v>1323</v>
      </c>
      <c r="C516" s="1391"/>
      <c r="D516" s="1391"/>
      <c r="E516" s="1391"/>
      <c r="F516" s="1391"/>
      <c r="G516" s="1424">
        <f>'Part IV-Uses of Funds'!G87</f>
        <v>0</v>
      </c>
      <c r="H516" s="1424"/>
      <c r="I516" s="1391"/>
      <c r="J516" s="1424"/>
      <c r="K516" s="1424"/>
      <c r="L516" s="1395"/>
      <c r="M516" s="1424"/>
      <c r="N516" s="1424"/>
      <c r="O516" s="1391"/>
      <c r="P516" s="1424"/>
      <c r="Q516" s="1424"/>
      <c r="R516" s="1391"/>
      <c r="S516" s="1424">
        <f>'Part IV-Uses of Funds'!S87</f>
        <v>0</v>
      </c>
      <c r="T516" s="1424"/>
      <c r="U516" s="1391"/>
      <c r="V516" s="1441">
        <f>'Part IV-Uses of Funds'!V87</f>
        <v>0</v>
      </c>
      <c r="W516" s="1477"/>
      <c r="X516" s="1477"/>
    </row>
    <row r="517" spans="1:24">
      <c r="A517" s="1391"/>
      <c r="B517" s="1391" t="s">
        <v>1325</v>
      </c>
      <c r="C517" s="1391"/>
      <c r="D517" s="1391"/>
      <c r="E517" s="1391"/>
      <c r="F517" s="1391"/>
      <c r="G517" s="1424">
        <f>'Part IV-Uses of Funds'!G88</f>
        <v>0</v>
      </c>
      <c r="H517" s="1424"/>
      <c r="I517" s="1391"/>
      <c r="J517" s="1424"/>
      <c r="K517" s="1424"/>
      <c r="L517" s="1395"/>
      <c r="M517" s="1424"/>
      <c r="N517" s="1424"/>
      <c r="O517" s="1391"/>
      <c r="P517" s="1424"/>
      <c r="Q517" s="1424"/>
      <c r="R517" s="1391"/>
      <c r="S517" s="1424">
        <f>'Part IV-Uses of Funds'!S88</f>
        <v>0</v>
      </c>
      <c r="T517" s="1424"/>
      <c r="U517" s="1391"/>
      <c r="V517" s="1441">
        <f>'Part IV-Uses of Funds'!V88</f>
        <v>0</v>
      </c>
      <c r="W517" s="1477"/>
      <c r="X517" s="1477"/>
    </row>
    <row r="518" spans="1:24">
      <c r="A518" s="1391"/>
      <c r="B518" s="1391" t="s">
        <v>2378</v>
      </c>
      <c r="C518" s="1391"/>
      <c r="D518" s="1391"/>
      <c r="E518" s="1391"/>
      <c r="F518" s="1391"/>
      <c r="G518" s="1424">
        <f>'Part IV-Uses of Funds'!G89</f>
        <v>471976</v>
      </c>
      <c r="H518" s="1424"/>
      <c r="I518" s="1391"/>
      <c r="J518" s="1424"/>
      <c r="K518" s="1424"/>
      <c r="L518" s="1395"/>
      <c r="M518" s="1424"/>
      <c r="N518" s="1424"/>
      <c r="O518" s="1391"/>
      <c r="P518" s="1424"/>
      <c r="Q518" s="1424"/>
      <c r="R518" s="1391"/>
      <c r="S518" s="1424">
        <f>'Part IV-Uses of Funds'!S89</f>
        <v>471976</v>
      </c>
      <c r="T518" s="1424"/>
      <c r="U518" s="1391"/>
      <c r="V518" s="1441">
        <f>'Part IV-Uses of Funds'!V89</f>
        <v>0</v>
      </c>
      <c r="W518" s="1477"/>
      <c r="X518" s="1477"/>
    </row>
    <row r="519" spans="1:24" ht="15.75">
      <c r="A519" s="1483" t="str">
        <f>IF(AND(G519&gt;0,OR(C519="",C519="&lt;Enter detailed description here; use Comments section if needed&gt;")),"X","")</f>
        <v/>
      </c>
      <c r="B519" s="1391" t="s">
        <v>771</v>
      </c>
      <c r="C519" s="1391" t="str">
        <f>'Part IV-Uses of Funds'!C90</f>
        <v>&lt;&lt; Enter description here; provide detail &amp; justification in tab Part IV-b &gt;&gt;</v>
      </c>
      <c r="D519" s="1391"/>
      <c r="E519" s="1391"/>
      <c r="F519" s="1391"/>
      <c r="G519" s="1424">
        <f>'Part IV-Uses of Funds'!G90</f>
        <v>0</v>
      </c>
      <c r="H519" s="1424"/>
      <c r="I519" s="1391"/>
      <c r="J519" s="1424"/>
      <c r="K519" s="1424"/>
      <c r="L519" s="1395"/>
      <c r="M519" s="1424"/>
      <c r="N519" s="1424"/>
      <c r="O519" s="1391"/>
      <c r="P519" s="1424"/>
      <c r="Q519" s="1424"/>
      <c r="R519" s="1391"/>
      <c r="S519" s="1424">
        <f>'Part IV-Uses of Funds'!S90</f>
        <v>0</v>
      </c>
      <c r="T519" s="1424"/>
      <c r="U519" s="296" t="str">
        <f>IF(AND(G519&gt;0,OR(C519="",C519="&lt;Enter detailed description here; use Comments section if needed&gt;")),"NO DESCRIPTION PROVIDED - please enter detailed description in Other box at left; use Comments section below if needed.","")</f>
        <v/>
      </c>
      <c r="V519" s="1441">
        <f>'Part IV-Uses of Funds'!V90</f>
        <v>0</v>
      </c>
      <c r="W519" s="1477"/>
      <c r="X519" s="1477"/>
    </row>
    <row r="520" spans="1:24">
      <c r="A520" s="1391"/>
      <c r="B520" s="1391"/>
      <c r="C520" s="1391"/>
      <c r="D520" s="1391"/>
      <c r="E520" s="1391"/>
      <c r="F520" s="1484" t="s">
        <v>197</v>
      </c>
      <c r="G520" s="1424">
        <f>SUM(G514:H519)</f>
        <v>471976</v>
      </c>
      <c r="H520" s="1424"/>
      <c r="I520" s="1391"/>
      <c r="J520" s="1424"/>
      <c r="K520" s="1424"/>
      <c r="L520" s="1395"/>
      <c r="M520" s="1424"/>
      <c r="N520" s="1424"/>
      <c r="O520" s="1391"/>
      <c r="P520" s="1424"/>
      <c r="Q520" s="1424"/>
      <c r="R520" s="1391"/>
      <c r="S520" s="1424">
        <f>SUM(S514:T519)</f>
        <v>471976</v>
      </c>
      <c r="T520" s="1424"/>
      <c r="U520" s="1391"/>
      <c r="V520" s="1441">
        <f>SUM(V514:V519)</f>
        <v>0</v>
      </c>
      <c r="W520" s="1477"/>
      <c r="X520" s="1477"/>
    </row>
    <row r="521" spans="1:24">
      <c r="A521" s="1174"/>
      <c r="B521" s="1174"/>
      <c r="C521" s="1174"/>
      <c r="D521" s="1174"/>
      <c r="E521" s="1174"/>
      <c r="F521" s="1174"/>
      <c r="G521" s="1174"/>
      <c r="H521" s="1174"/>
      <c r="I521" s="1174"/>
      <c r="J521" s="1174"/>
      <c r="K521" s="1174"/>
      <c r="L521" s="1174"/>
      <c r="M521" s="1174"/>
      <c r="N521" s="1174"/>
      <c r="O521" s="1174"/>
      <c r="P521" s="1174"/>
      <c r="Q521" s="1174"/>
      <c r="R521" s="1174"/>
      <c r="S521" s="1174"/>
      <c r="T521" s="1174"/>
      <c r="U521" s="1391"/>
      <c r="V521" s="1391"/>
      <c r="W521" s="1391"/>
      <c r="X521" s="1391"/>
    </row>
    <row r="522" spans="1:24" ht="17.25" customHeight="1">
      <c r="A522" s="1478" t="s">
        <v>640</v>
      </c>
      <c r="B522" s="1478" t="s">
        <v>2982</v>
      </c>
      <c r="C522" s="1391"/>
      <c r="D522" s="1391"/>
      <c r="E522" s="1391"/>
      <c r="F522" s="1391"/>
      <c r="G522" s="1391"/>
      <c r="H522" s="1391"/>
      <c r="I522" s="1391"/>
      <c r="J522" s="1479" t="s">
        <v>283</v>
      </c>
      <c r="K522" s="1479"/>
      <c r="L522" s="1424"/>
      <c r="M522" s="1480" t="s">
        <v>507</v>
      </c>
      <c r="N522" s="1480"/>
      <c r="O522" s="1391"/>
      <c r="P522" s="1479" t="s">
        <v>284</v>
      </c>
      <c r="Q522" s="1479"/>
      <c r="R522" s="1391"/>
      <c r="S522" s="1479" t="s">
        <v>285</v>
      </c>
      <c r="T522" s="1479"/>
      <c r="U522" s="1391"/>
      <c r="V522" s="1391"/>
      <c r="W522" s="1481" t="str">
        <f>B522</f>
        <v>DEVELOPMENT BUDGET  (cont'd)</v>
      </c>
      <c r="X522" s="1391"/>
    </row>
    <row r="523" spans="1:24">
      <c r="A523" s="1391"/>
      <c r="B523" s="1391"/>
      <c r="C523" s="1391"/>
      <c r="D523" s="1391"/>
      <c r="E523" s="1391"/>
      <c r="F523" s="1391"/>
      <c r="G523" s="340" t="s">
        <v>103</v>
      </c>
      <c r="H523" s="340"/>
      <c r="I523" s="1391"/>
      <c r="J523" s="1479"/>
      <c r="K523" s="1479"/>
      <c r="L523" s="1424"/>
      <c r="M523" s="1480"/>
      <c r="N523" s="1480"/>
      <c r="O523" s="1391"/>
      <c r="P523" s="1479"/>
      <c r="Q523" s="1479"/>
      <c r="R523" s="1391"/>
      <c r="S523" s="1479"/>
      <c r="T523" s="1479"/>
      <c r="U523" s="1391"/>
      <c r="V523" s="1391"/>
      <c r="W523" s="354" t="s">
        <v>2778</v>
      </c>
      <c r="X523" s="354"/>
    </row>
    <row r="524" spans="1:24">
      <c r="A524" s="1391"/>
      <c r="B524" s="340" t="s">
        <v>755</v>
      </c>
      <c r="C524" s="1391"/>
      <c r="D524" s="1391"/>
      <c r="E524" s="1391"/>
      <c r="F524" s="1391"/>
      <c r="G524" s="1391"/>
      <c r="H524" s="1391"/>
      <c r="I524" s="1391"/>
      <c r="J524" s="1395"/>
      <c r="K524" s="1395"/>
      <c r="L524" s="1391"/>
      <c r="M524" s="1395"/>
      <c r="N524" s="1395"/>
      <c r="O524" s="1485" t="str">
        <f>B524</f>
        <v>DCA-RELATED COSTS</v>
      </c>
      <c r="P524" s="1395"/>
      <c r="Q524" s="1395"/>
      <c r="R524" s="1391"/>
      <c r="S524" s="1395"/>
      <c r="T524" s="1395"/>
      <c r="U524" s="1391"/>
      <c r="V524" s="1391"/>
      <c r="W524" s="1391" t="str">
        <f>B524</f>
        <v>DCA-RELATED COSTS</v>
      </c>
      <c r="X524" s="1391"/>
    </row>
    <row r="525" spans="1:24">
      <c r="A525" s="1391"/>
      <c r="B525" s="1391" t="str">
        <f>CONCATENATE("DCA HOME Loan Pre-Application Fee ($",'DCA Underwriting Assumptions'!$Q$71, " FP/JV, $",'DCA Underwriting Assumptions'!$Q$72, " NP)")</f>
        <v>DCA HOME Loan Pre-Application Fee ($1000 FP/JV, $500 NP)</v>
      </c>
      <c r="C525" s="1391"/>
      <c r="D525" s="1391"/>
      <c r="E525" s="1391"/>
      <c r="F525" s="1391"/>
      <c r="G525" s="1424">
        <f>'Part IV-Uses of Funds'!G96</f>
        <v>0</v>
      </c>
      <c r="H525" s="1424"/>
      <c r="I525" s="1391"/>
      <c r="J525" s="1395"/>
      <c r="K525" s="1395"/>
      <c r="L525" s="1395"/>
      <c r="M525" s="1395"/>
      <c r="N525" s="1395"/>
      <c r="O525" s="1391"/>
      <c r="P525" s="1395"/>
      <c r="Q525" s="1395"/>
      <c r="R525" s="1391"/>
      <c r="S525" s="1424">
        <f>'Part IV-Uses of Funds'!S96</f>
        <v>0</v>
      </c>
      <c r="T525" s="1424"/>
      <c r="U525" s="1391"/>
      <c r="V525" s="1441">
        <f>'Part IV-Uses of Funds'!V96</f>
        <v>0</v>
      </c>
      <c r="W525" s="1477">
        <f>'Part IV-Uses of Funds'!W96</f>
        <v>0</v>
      </c>
      <c r="X525" s="1477"/>
    </row>
    <row r="526" spans="1:24">
      <c r="A526" s="1391"/>
      <c r="B526" s="1391" t="str">
        <f>CONCATENATE("Tax Credit Application Fee ($",'DCA Underwriting Assumptions'!$Q$68, " ForProf/JntVent, $",'DCA Underwriting Assumptions'!$Q$69, " NonProf)")</f>
        <v>Tax Credit Application Fee ($6500 ForProf/JntVent, $5500 NonProf)</v>
      </c>
      <c r="C526" s="1391"/>
      <c r="D526" s="1391"/>
      <c r="E526" s="1391"/>
      <c r="F526" s="1391"/>
      <c r="G526" s="1424">
        <f>'Part IV-Uses of Funds'!G97</f>
        <v>5000</v>
      </c>
      <c r="H526" s="1424"/>
      <c r="I526" s="1391"/>
      <c r="J526" s="1395"/>
      <c r="K526" s="1395"/>
      <c r="L526" s="395"/>
      <c r="M526" s="1395"/>
      <c r="N526" s="1395"/>
      <c r="O526" s="1391"/>
      <c r="P526" s="1395"/>
      <c r="Q526" s="1395"/>
      <c r="R526" s="1391"/>
      <c r="S526" s="1424">
        <f>'Part IV-Uses of Funds'!S97</f>
        <v>5000</v>
      </c>
      <c r="T526" s="1424"/>
      <c r="U526" s="1391"/>
      <c r="V526" s="1441">
        <f>'Part IV-Uses of Funds'!V97</f>
        <v>0</v>
      </c>
      <c r="W526" s="1477"/>
      <c r="X526" s="1477"/>
    </row>
    <row r="527" spans="1:24">
      <c r="A527" s="1391"/>
      <c r="B527" s="1391" t="s">
        <v>2790</v>
      </c>
      <c r="C527" s="1391"/>
      <c r="D527" s="1391"/>
      <c r="E527" s="1391"/>
      <c r="F527" s="1391"/>
      <c r="G527" s="1424">
        <f>'Part IV-Uses of Funds'!G98</f>
        <v>1500</v>
      </c>
      <c r="H527" s="1424"/>
      <c r="I527" s="1391"/>
      <c r="J527" s="1395"/>
      <c r="K527" s="1395"/>
      <c r="L527" s="395"/>
      <c r="M527" s="1395"/>
      <c r="N527" s="1395"/>
      <c r="O527" s="1391"/>
      <c r="P527" s="1395"/>
      <c r="Q527" s="1395"/>
      <c r="R527" s="1391"/>
      <c r="S527" s="1424">
        <f>'Part IV-Uses of Funds'!S98</f>
        <v>1500</v>
      </c>
      <c r="T527" s="1424"/>
      <c r="U527" s="1391"/>
      <c r="V527" s="1441">
        <f>'Part IV-Uses of Funds'!V98</f>
        <v>0</v>
      </c>
      <c r="W527" s="1477"/>
      <c r="X527" s="1477"/>
    </row>
    <row r="528" spans="1:24">
      <c r="A528" s="1391"/>
      <c r="B528" s="1391" t="s">
        <v>538</v>
      </c>
      <c r="C528" s="1391"/>
      <c r="D528" s="1391"/>
      <c r="E528" s="1499">
        <f ca="1">'DCA Underwriting Assumptions'!$Q$83*J603</f>
        <v>70871.294578469533</v>
      </c>
      <c r="F528" s="1499"/>
      <c r="G528" s="1424">
        <f ca="1">'Part IV-Uses of Funds'!G99</f>
        <v>70871.294578469533</v>
      </c>
      <c r="H528" s="1424"/>
      <c r="I528" s="1391"/>
      <c r="J528" s="1395"/>
      <c r="K528" s="1395"/>
      <c r="L528" s="1395"/>
      <c r="M528" s="1395"/>
      <c r="N528" s="1395"/>
      <c r="O528" s="1391"/>
      <c r="P528" s="1395"/>
      <c r="Q528" s="1395"/>
      <c r="R528" s="1391"/>
      <c r="S528" s="1424">
        <f ca="1">'Part IV-Uses of Funds'!S99</f>
        <v>70871.294578469533</v>
      </c>
      <c r="T528" s="1424"/>
      <c r="U528" s="1391"/>
      <c r="V528" s="1441">
        <f>'Part IV-Uses of Funds'!V99</f>
        <v>0</v>
      </c>
      <c r="W528" s="1477"/>
      <c r="X528" s="1477"/>
    </row>
    <row r="529" spans="1:24">
      <c r="A529" s="1391"/>
      <c r="B529" s="1391" t="s">
        <v>783</v>
      </c>
      <c r="C529" s="1391"/>
      <c r="D529" s="1391"/>
      <c r="E529" s="149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166400</v>
      </c>
      <c r="F529" s="1499"/>
      <c r="G529" s="1424">
        <f>'Part IV-Uses of Funds'!G100</f>
        <v>166400</v>
      </c>
      <c r="H529" s="1424"/>
      <c r="I529" s="1391"/>
      <c r="J529" s="338"/>
      <c r="K529" s="338"/>
      <c r="L529" s="338"/>
      <c r="M529" s="338"/>
      <c r="N529" s="338"/>
      <c r="O529" s="338"/>
      <c r="P529" s="338"/>
      <c r="Q529" s="338"/>
      <c r="R529" s="1391"/>
      <c r="S529" s="1424">
        <f>'Part IV-Uses of Funds'!S100</f>
        <v>166400</v>
      </c>
      <c r="T529" s="1424"/>
      <c r="U529" s="1391"/>
      <c r="V529" s="1441">
        <f>'Part IV-Uses of Funds'!V100</f>
        <v>0</v>
      </c>
      <c r="W529" s="1477"/>
      <c r="X529" s="1477"/>
    </row>
    <row r="530" spans="1:24">
      <c r="A530" s="1391"/>
      <c r="B530" s="1391" t="str">
        <f>CONCATENATE("DCA HOME Front End Analysis Fee (when ID of Interest; $",'DCA Underwriting Assumptions'!$Q$85,")")</f>
        <v>DCA HOME Front End Analysis Fee (when ID of Interest; $2700)</v>
      </c>
      <c r="C530" s="1391"/>
      <c r="D530" s="1391"/>
      <c r="E530" s="1391"/>
      <c r="F530" s="1391"/>
      <c r="G530" s="1424">
        <f>'Part IV-Uses of Funds'!G101</f>
        <v>0</v>
      </c>
      <c r="H530" s="1424"/>
      <c r="I530" s="1391"/>
      <c r="J530" s="338"/>
      <c r="K530" s="338"/>
      <c r="L530" s="338"/>
      <c r="M530" s="338"/>
      <c r="N530" s="338"/>
      <c r="O530" s="338"/>
      <c r="P530" s="338"/>
      <c r="Q530" s="338"/>
      <c r="R530" s="1391"/>
      <c r="S530" s="1424">
        <f>'Part IV-Uses of Funds'!S101</f>
        <v>0</v>
      </c>
      <c r="T530" s="1424"/>
      <c r="U530" s="1391"/>
      <c r="V530" s="1441">
        <f>'Part IV-Uses of Funds'!V101</f>
        <v>0</v>
      </c>
      <c r="W530" s="1477"/>
      <c r="X530" s="1477"/>
    </row>
    <row r="531" spans="1:24">
      <c r="A531" s="1391"/>
      <c r="B531" s="1391" t="str">
        <f>CONCATENATE("DCA Final Inspection Fee (Tax Credit only - no HOME; $",'DCA Underwriting Assumptions'!$Q$106,")")</f>
        <v>DCA Final Inspection Fee (Tax Credit only - no HOME; $3000)</v>
      </c>
      <c r="C531" s="1391"/>
      <c r="D531" s="1391"/>
      <c r="E531" s="1391"/>
      <c r="F531" s="1391"/>
      <c r="G531" s="1424">
        <f>'Part IV-Uses of Funds'!G102</f>
        <v>3000</v>
      </c>
      <c r="H531" s="1424"/>
      <c r="I531" s="1391"/>
      <c r="J531" s="338"/>
      <c r="K531" s="338"/>
      <c r="L531" s="338"/>
      <c r="M531" s="338"/>
      <c r="N531" s="338"/>
      <c r="O531" s="338"/>
      <c r="P531" s="338"/>
      <c r="Q531" s="338"/>
      <c r="R531" s="1391"/>
      <c r="S531" s="1424">
        <f>'Part IV-Uses of Funds'!S102</f>
        <v>3000</v>
      </c>
      <c r="T531" s="1424"/>
      <c r="U531" s="1391"/>
      <c r="V531" s="1441">
        <f>'Part IV-Uses of Funds'!V102</f>
        <v>0</v>
      </c>
      <c r="W531" s="1477"/>
      <c r="X531" s="1477"/>
    </row>
    <row r="532" spans="1:24" ht="15.75">
      <c r="A532" s="1483" t="str">
        <f>IF(AND(G532&gt;0,OR(C532="",C532="&lt;Enter detailed description here; use Comments section if needed&gt;")),"X","")</f>
        <v/>
      </c>
      <c r="B532" s="1391" t="s">
        <v>771</v>
      </c>
      <c r="C532" s="1391" t="str">
        <f>'Part IV-Uses of Funds'!C103</f>
        <v>&lt;&lt; Enter description here; provide detail &amp; justification in tab Part IV-b &gt;&gt;</v>
      </c>
      <c r="D532" s="1391"/>
      <c r="E532" s="1391"/>
      <c r="F532" s="1391"/>
      <c r="G532" s="1424">
        <f>'Part IV-Uses of Funds'!G103</f>
        <v>0</v>
      </c>
      <c r="H532" s="1424"/>
      <c r="I532" s="1391"/>
      <c r="J532" s="338"/>
      <c r="K532" s="338"/>
      <c r="L532" s="338"/>
      <c r="M532" s="338"/>
      <c r="N532" s="338"/>
      <c r="O532" s="338"/>
      <c r="P532" s="338"/>
      <c r="Q532" s="338"/>
      <c r="R532" s="1391"/>
      <c r="S532" s="1424">
        <f>'Part IV-Uses of Funds'!S103</f>
        <v>0</v>
      </c>
      <c r="T532" s="1424"/>
      <c r="U532" s="296" t="str">
        <f>IF(AND(G532&gt;0,OR(C532="",C532="&lt;Enter detailed description here; use Comments section if needed&gt;")),"NO DESCRIPTION PROVIDED - please enter detailed description in Other box at left; use Comments section below if needed.","")</f>
        <v/>
      </c>
      <c r="V532" s="1441">
        <f>'Part IV-Uses of Funds'!V103</f>
        <v>0</v>
      </c>
      <c r="W532" s="1477"/>
      <c r="X532" s="1477"/>
    </row>
    <row r="533" spans="1:24" ht="15.75">
      <c r="A533" s="1483" t="str">
        <f>IF(AND(G533&gt;0,OR(C533="",C533="&lt;Enter detailed description here; use Comments section if needed&gt;")),"X","")</f>
        <v/>
      </c>
      <c r="B533" s="1391" t="s">
        <v>771</v>
      </c>
      <c r="C533" s="1391" t="str">
        <f>'Part IV-Uses of Funds'!C104</f>
        <v>&lt;&lt; Enter description here; provide detail &amp; justification in tab Part IV-b &gt;&gt;</v>
      </c>
      <c r="D533" s="1391"/>
      <c r="E533" s="1391"/>
      <c r="F533" s="1391"/>
      <c r="G533" s="1424">
        <f>'Part IV-Uses of Funds'!G104</f>
        <v>0</v>
      </c>
      <c r="H533" s="1424"/>
      <c r="I533" s="1391"/>
      <c r="J533" s="338"/>
      <c r="K533" s="338"/>
      <c r="L533" s="338"/>
      <c r="M533" s="338"/>
      <c r="N533" s="338"/>
      <c r="O533" s="338"/>
      <c r="P533" s="338"/>
      <c r="Q533" s="338"/>
      <c r="R533" s="1391"/>
      <c r="S533" s="1424">
        <f>'Part IV-Uses of Funds'!S104</f>
        <v>0</v>
      </c>
      <c r="T533" s="1424"/>
      <c r="U533" s="296" t="str">
        <f>IF(AND(G533&gt;0,OR(C533="",C533="&lt;Enter detailed description here; use Comments section if needed&gt;")),"NO DESCRIPTION PROVIDED - please enter detailed description in Other box at left; use Comments section below if needed.","")</f>
        <v/>
      </c>
      <c r="V533" s="1441">
        <f>'Part IV-Uses of Funds'!V104</f>
        <v>0</v>
      </c>
      <c r="W533" s="1477"/>
      <c r="X533" s="1477"/>
    </row>
    <row r="534" spans="1:24">
      <c r="A534" s="1391"/>
      <c r="B534" s="1391"/>
      <c r="C534" s="1391"/>
      <c r="D534" s="1391"/>
      <c r="E534" s="1391"/>
      <c r="F534" s="1484" t="s">
        <v>197</v>
      </c>
      <c r="G534" s="1424">
        <f ca="1">SUM(G525:H533)</f>
        <v>246771.29457846953</v>
      </c>
      <c r="H534" s="1424"/>
      <c r="I534" s="1391"/>
      <c r="J534" s="1395"/>
      <c r="K534" s="1395"/>
      <c r="L534" s="1395"/>
      <c r="M534" s="1395"/>
      <c r="N534" s="1395"/>
      <c r="O534" s="1391"/>
      <c r="P534" s="1395"/>
      <c r="Q534" s="1395"/>
      <c r="R534" s="1391"/>
      <c r="S534" s="1424">
        <f ca="1">SUM(S525:T533)</f>
        <v>246771.29457846953</v>
      </c>
      <c r="T534" s="1424"/>
      <c r="U534" s="1391"/>
      <c r="V534" s="1441">
        <f>SUM(V525:V533)</f>
        <v>0</v>
      </c>
      <c r="W534" s="1477"/>
      <c r="X534" s="1477"/>
    </row>
    <row r="535" spans="1:24">
      <c r="A535" s="1391"/>
      <c r="B535" s="340" t="s">
        <v>2379</v>
      </c>
      <c r="C535" s="1391"/>
      <c r="D535" s="1391"/>
      <c r="E535" s="1391"/>
      <c r="F535" s="1391"/>
      <c r="G535" s="1391"/>
      <c r="H535" s="1391"/>
      <c r="I535" s="1391"/>
      <c r="J535" s="1395"/>
      <c r="K535" s="1395"/>
      <c r="L535" s="1391"/>
      <c r="M535" s="1395"/>
      <c r="N535" s="1395"/>
      <c r="O535" s="1485" t="str">
        <f>B535</f>
        <v>EQUITY COSTS</v>
      </c>
      <c r="P535" s="1395"/>
      <c r="Q535" s="1395"/>
      <c r="R535" s="1391"/>
      <c r="S535" s="1395"/>
      <c r="T535" s="1395"/>
      <c r="U535" s="1391"/>
      <c r="V535" s="1391"/>
      <c r="W535" s="1391" t="str">
        <f>B535</f>
        <v>EQUITY COSTS</v>
      </c>
      <c r="X535" s="1391"/>
    </row>
    <row r="536" spans="1:24">
      <c r="A536" s="1391"/>
      <c r="B536" s="1391" t="s">
        <v>291</v>
      </c>
      <c r="C536" s="1391"/>
      <c r="D536" s="1391"/>
      <c r="E536" s="1391"/>
      <c r="F536" s="1391"/>
      <c r="G536" s="1424">
        <f>'Part IV-Uses of Funds'!G107</f>
        <v>5000</v>
      </c>
      <c r="H536" s="1424"/>
      <c r="I536" s="1391"/>
      <c r="J536" s="1424"/>
      <c r="K536" s="1424"/>
      <c r="L536" s="1395"/>
      <c r="M536" s="1424"/>
      <c r="N536" s="1424"/>
      <c r="O536" s="1391"/>
      <c r="P536" s="1424"/>
      <c r="Q536" s="1424"/>
      <c r="R536" s="1391"/>
      <c r="S536" s="1424">
        <f>'Part IV-Uses of Funds'!S107</f>
        <v>5000</v>
      </c>
      <c r="T536" s="1424"/>
      <c r="U536" s="1391"/>
      <c r="V536" s="1441">
        <f>'Part IV-Uses of Funds'!V107</f>
        <v>0</v>
      </c>
      <c r="W536" s="1477">
        <f>'Part IV-Uses of Funds'!W107</f>
        <v>0</v>
      </c>
      <c r="X536" s="1477"/>
    </row>
    <row r="537" spans="1:24">
      <c r="A537" s="1391"/>
      <c r="B537" s="1391" t="s">
        <v>293</v>
      </c>
      <c r="C537" s="1391"/>
      <c r="D537" s="1391"/>
      <c r="E537" s="1391"/>
      <c r="F537" s="1391"/>
      <c r="G537" s="1424">
        <f>'Part IV-Uses of Funds'!G108</f>
        <v>10000</v>
      </c>
      <c r="H537" s="1424"/>
      <c r="I537" s="1391"/>
      <c r="J537" s="1424"/>
      <c r="K537" s="1424"/>
      <c r="L537" s="1395"/>
      <c r="M537" s="1424"/>
      <c r="N537" s="1424"/>
      <c r="O537" s="1391"/>
      <c r="P537" s="1424"/>
      <c r="Q537" s="1424"/>
      <c r="R537" s="1391"/>
      <c r="S537" s="1424">
        <f>'Part IV-Uses of Funds'!S108</f>
        <v>10000</v>
      </c>
      <c r="T537" s="1424"/>
      <c r="U537" s="1391"/>
      <c r="V537" s="1441">
        <f>'Part IV-Uses of Funds'!V108</f>
        <v>0</v>
      </c>
      <c r="W537" s="1477"/>
      <c r="X537" s="1477"/>
    </row>
    <row r="538" spans="1:24">
      <c r="A538" s="1391"/>
      <c r="B538" s="1391" t="s">
        <v>2471</v>
      </c>
      <c r="C538" s="1391"/>
      <c r="D538" s="1391"/>
      <c r="E538" s="1391"/>
      <c r="F538" s="1391"/>
      <c r="G538" s="1424">
        <f>'Part IV-Uses of Funds'!G109</f>
        <v>35000</v>
      </c>
      <c r="H538" s="1424"/>
      <c r="I538" s="1391"/>
      <c r="J538" s="1424"/>
      <c r="K538" s="1424"/>
      <c r="L538" s="1395"/>
      <c r="M538" s="1424"/>
      <c r="N538" s="1424"/>
      <c r="O538" s="1391"/>
      <c r="P538" s="1424"/>
      <c r="Q538" s="1424"/>
      <c r="R538" s="1391"/>
      <c r="S538" s="1424">
        <f>'Part IV-Uses of Funds'!S109</f>
        <v>35000</v>
      </c>
      <c r="T538" s="1424"/>
      <c r="U538" s="1391"/>
      <c r="V538" s="1441">
        <f>'Part IV-Uses of Funds'!V109</f>
        <v>0</v>
      </c>
      <c r="W538" s="1477"/>
      <c r="X538" s="1477"/>
    </row>
    <row r="539" spans="1:24" ht="15.75">
      <c r="A539" s="1483" t="str">
        <f>IF(AND(G539&gt;0,OR(C539="",C539="&lt;Enter detailed description here; use Comments section if needed&gt;")),"X","")</f>
        <v/>
      </c>
      <c r="B539" s="1391" t="s">
        <v>771</v>
      </c>
      <c r="C539" s="1391" t="str">
        <f>'Part IV-Uses of Funds'!C110</f>
        <v>Acquisition Credit Opinion</v>
      </c>
      <c r="D539" s="1391"/>
      <c r="E539" s="1391"/>
      <c r="F539" s="1391"/>
      <c r="G539" s="1424">
        <f>'Part IV-Uses of Funds'!G110</f>
        <v>5000</v>
      </c>
      <c r="H539" s="1424"/>
      <c r="I539" s="1391"/>
      <c r="J539" s="1424"/>
      <c r="K539" s="1424"/>
      <c r="L539" s="1395"/>
      <c r="M539" s="1424"/>
      <c r="N539" s="1424"/>
      <c r="O539" s="1391"/>
      <c r="P539" s="1424"/>
      <c r="Q539" s="1424"/>
      <c r="R539" s="1391"/>
      <c r="S539" s="1424">
        <f>'Part IV-Uses of Funds'!S110</f>
        <v>5000</v>
      </c>
      <c r="T539" s="1424"/>
      <c r="U539" s="296" t="str">
        <f>IF(AND(G539&gt;0,OR(C539="",C539="&lt;Enter detailed description here; use Comments section if needed&gt;")),"NO DESCRIPTION PROVIDED - please enter detailed description in Other box at left; use Comments section below if needed.","")</f>
        <v/>
      </c>
      <c r="V539" s="1441">
        <f>'Part IV-Uses of Funds'!V110</f>
        <v>0</v>
      </c>
      <c r="W539" s="1477"/>
      <c r="X539" s="1477"/>
    </row>
    <row r="540" spans="1:24">
      <c r="A540" s="1391"/>
      <c r="B540" s="1391"/>
      <c r="C540" s="1391"/>
      <c r="D540" s="1391"/>
      <c r="E540" s="1391"/>
      <c r="F540" s="1484" t="s">
        <v>197</v>
      </c>
      <c r="G540" s="1424">
        <f>SUM(G536:H539)</f>
        <v>55000</v>
      </c>
      <c r="H540" s="1424"/>
      <c r="I540" s="1391"/>
      <c r="J540" s="1424"/>
      <c r="K540" s="1424"/>
      <c r="L540" s="1395"/>
      <c r="M540" s="1424"/>
      <c r="N540" s="1424"/>
      <c r="O540" s="1391"/>
      <c r="P540" s="1424"/>
      <c r="Q540" s="1424"/>
      <c r="R540" s="1391"/>
      <c r="S540" s="1424">
        <f>SUM(S536:T539)</f>
        <v>55000</v>
      </c>
      <c r="T540" s="1424"/>
      <c r="U540" s="1391"/>
      <c r="V540" s="1441">
        <f>SUM(V536:V539)</f>
        <v>0</v>
      </c>
      <c r="W540" s="1477"/>
      <c r="X540" s="1477"/>
    </row>
    <row r="541" spans="1:24">
      <c r="A541" s="1391"/>
      <c r="B541" s="340" t="s">
        <v>294</v>
      </c>
      <c r="C541" s="1391"/>
      <c r="D541" s="1391"/>
      <c r="E541" s="1391"/>
      <c r="F541" s="1391"/>
      <c r="G541" s="1391"/>
      <c r="H541" s="1391"/>
      <c r="I541" s="1391"/>
      <c r="J541" s="1395"/>
      <c r="K541" s="1424"/>
      <c r="L541" s="1391"/>
      <c r="M541" s="1395"/>
      <c r="N541" s="1424"/>
      <c r="O541" s="1485" t="str">
        <f>B541</f>
        <v>DEVELOPER'S FEE</v>
      </c>
      <c r="P541" s="1395"/>
      <c r="Q541" s="1424"/>
      <c r="R541" s="1391"/>
      <c r="S541" s="1395"/>
      <c r="T541" s="1424"/>
      <c r="U541" s="1391"/>
      <c r="V541" s="1391"/>
      <c r="W541" s="1391" t="str">
        <f>B541</f>
        <v>DEVELOPER'S FEE</v>
      </c>
      <c r="X541" s="1391"/>
    </row>
    <row r="542" spans="1:24">
      <c r="A542" s="1391"/>
      <c r="B542" s="1391" t="s">
        <v>1930</v>
      </c>
      <c r="C542" s="1391"/>
      <c r="D542" s="1391"/>
      <c r="E542" s="1391"/>
      <c r="F542" s="1469">
        <f>IF($G$117=0,0,G542/$G$117)</f>
        <v>0</v>
      </c>
      <c r="G542" s="1424">
        <f>'Part IV-Uses of Funds'!G113</f>
        <v>600000</v>
      </c>
      <c r="H542" s="1424"/>
      <c r="I542" s="1391"/>
      <c r="J542" s="1424">
        <f>'Part IV-Uses of Funds'!J113</f>
        <v>0</v>
      </c>
      <c r="K542" s="1424"/>
      <c r="L542" s="1485"/>
      <c r="M542" s="1424">
        <f>'Part IV-Uses of Funds'!M113</f>
        <v>0</v>
      </c>
      <c r="N542" s="1424"/>
      <c r="O542" s="1391"/>
      <c r="P542" s="1424">
        <f>'Part IV-Uses of Funds'!P113</f>
        <v>600000</v>
      </c>
      <c r="Q542" s="1424"/>
      <c r="R542" s="1391"/>
      <c r="S542" s="1424">
        <f>'Part IV-Uses of Funds'!S113</f>
        <v>0</v>
      </c>
      <c r="T542" s="1424"/>
      <c r="U542" s="1391"/>
      <c r="V542" s="1441">
        <f>'Part IV-Uses of Funds'!V113</f>
        <v>0</v>
      </c>
      <c r="W542" s="1477">
        <f>'Part IV-Uses of Funds'!W113</f>
        <v>0</v>
      </c>
      <c r="X542" s="1477"/>
    </row>
    <row r="543" spans="1:24">
      <c r="A543" s="1391"/>
      <c r="B543" s="1391" t="s">
        <v>1931</v>
      </c>
      <c r="C543" s="1391"/>
      <c r="D543" s="1391"/>
      <c r="E543" s="1391"/>
      <c r="F543" s="1469">
        <f>IF($G$117=0,0,G543/$G$117)</f>
        <v>0</v>
      </c>
      <c r="G543" s="1424">
        <f>'Part IV-Uses of Funds'!G114</f>
        <v>100000</v>
      </c>
      <c r="H543" s="1424"/>
      <c r="I543" s="1391"/>
      <c r="J543" s="1424">
        <f>'Part IV-Uses of Funds'!J114</f>
        <v>0</v>
      </c>
      <c r="K543" s="1424"/>
      <c r="L543" s="1395"/>
      <c r="M543" s="1424">
        <f>'Part IV-Uses of Funds'!M114</f>
        <v>0</v>
      </c>
      <c r="N543" s="1424"/>
      <c r="O543" s="1391"/>
      <c r="P543" s="1424">
        <f>'Part IV-Uses of Funds'!P114</f>
        <v>100000</v>
      </c>
      <c r="Q543" s="1424"/>
      <c r="R543" s="1391"/>
      <c r="S543" s="1424">
        <f>'Part IV-Uses of Funds'!S114</f>
        <v>0</v>
      </c>
      <c r="T543" s="1424"/>
      <c r="U543" s="1391"/>
      <c r="V543" s="1441">
        <f>'Part IV-Uses of Funds'!V114</f>
        <v>0</v>
      </c>
      <c r="W543" s="1477"/>
      <c r="X543" s="1477"/>
    </row>
    <row r="544" spans="1:24">
      <c r="A544" s="1391"/>
      <c r="B544" s="1391" t="s">
        <v>4048</v>
      </c>
      <c r="C544" s="1391"/>
      <c r="D544" s="1391"/>
      <c r="E544" s="1391"/>
      <c r="F544" s="1469">
        <f>IF($G$117=0,0,G544/$G$117)</f>
        <v>0</v>
      </c>
      <c r="G544" s="1424">
        <f>'Part IV-Uses of Funds'!G115</f>
        <v>0</v>
      </c>
      <c r="H544" s="1424"/>
      <c r="I544" s="1391"/>
      <c r="J544" s="1424">
        <f>'Part IV-Uses of Funds'!J115</f>
        <v>0</v>
      </c>
      <c r="K544" s="1424"/>
      <c r="L544" s="1395"/>
      <c r="M544" s="1424">
        <f>'Part IV-Uses of Funds'!M115</f>
        <v>0</v>
      </c>
      <c r="N544" s="1424"/>
      <c r="O544" s="1391"/>
      <c r="P544" s="1424">
        <f>'Part IV-Uses of Funds'!P115</f>
        <v>0</v>
      </c>
      <c r="Q544" s="1424"/>
      <c r="R544" s="1391"/>
      <c r="S544" s="1424">
        <f>'Part IV-Uses of Funds'!S115</f>
        <v>0</v>
      </c>
      <c r="T544" s="1424"/>
      <c r="U544" s="1391"/>
      <c r="V544" s="1441">
        <f>'Part IV-Uses of Funds'!V115</f>
        <v>0</v>
      </c>
      <c r="W544" s="1477"/>
      <c r="X544" s="1477"/>
    </row>
    <row r="545" spans="1:24">
      <c r="A545" s="1391"/>
      <c r="B545" s="1391" t="s">
        <v>1923</v>
      </c>
      <c r="C545" s="1391"/>
      <c r="D545" s="1391"/>
      <c r="E545" s="1391"/>
      <c r="F545" s="1469">
        <f>IF($G$117=0,0,G545/$G$117)</f>
        <v>0</v>
      </c>
      <c r="G545" s="1424">
        <f>'Part IV-Uses of Funds'!G116</f>
        <v>1800000</v>
      </c>
      <c r="H545" s="1424"/>
      <c r="I545" s="1391"/>
      <c r="J545" s="1424">
        <f>'Part IV-Uses of Funds'!J116</f>
        <v>0</v>
      </c>
      <c r="K545" s="1424"/>
      <c r="L545" s="1395"/>
      <c r="M545" s="1424">
        <f>'Part IV-Uses of Funds'!M116</f>
        <v>0</v>
      </c>
      <c r="N545" s="1424"/>
      <c r="O545" s="1391"/>
      <c r="P545" s="1424">
        <f>'Part IV-Uses of Funds'!P116</f>
        <v>1800000</v>
      </c>
      <c r="Q545" s="1424"/>
      <c r="R545" s="1391"/>
      <c r="S545" s="1424">
        <f>'Part IV-Uses of Funds'!S116</f>
        <v>0</v>
      </c>
      <c r="T545" s="1424"/>
      <c r="U545" s="1391"/>
      <c r="V545" s="1441">
        <f>'Part IV-Uses of Funds'!V116</f>
        <v>0</v>
      </c>
      <c r="W545" s="1477"/>
      <c r="X545" s="1477"/>
    </row>
    <row r="546" spans="1:24">
      <c r="A546" s="1391"/>
      <c r="B546" s="1391"/>
      <c r="C546" s="296" t="str">
        <f>IF(G546&lt;='DCA Underwriting Assumptions'!$Q$92,"","Developer Fee exceeds DCA Program Maximum !!!")</f>
        <v>Developer Fee exceeds DCA Program Maximum !!!</v>
      </c>
      <c r="D546" s="1391"/>
      <c r="E546" s="1391"/>
      <c r="F546" s="1484" t="s">
        <v>197</v>
      </c>
      <c r="G546" s="1424">
        <f>SUM(G542:H545)</f>
        <v>2500000</v>
      </c>
      <c r="H546" s="1424"/>
      <c r="I546" s="1391"/>
      <c r="J546" s="1424">
        <f>SUM(J542:K545)</f>
        <v>0</v>
      </c>
      <c r="K546" s="1424"/>
      <c r="L546" s="1395"/>
      <c r="M546" s="1424">
        <f>SUM(M542:N545)</f>
        <v>0</v>
      </c>
      <c r="N546" s="1424"/>
      <c r="O546" s="1391"/>
      <c r="P546" s="1424">
        <f>SUM(P542:Q545)</f>
        <v>2500000</v>
      </c>
      <c r="Q546" s="1424"/>
      <c r="R546" s="1391"/>
      <c r="S546" s="1424">
        <f>SUM(S542:T545)</f>
        <v>0</v>
      </c>
      <c r="T546" s="1424"/>
      <c r="U546" s="1391"/>
      <c r="V546" s="1441">
        <f>SUM(V542:V545)</f>
        <v>0</v>
      </c>
      <c r="W546" s="1477"/>
      <c r="X546" s="1477"/>
    </row>
    <row r="547" spans="1:24">
      <c r="A547" s="1391"/>
      <c r="B547" s="340" t="s">
        <v>1358</v>
      </c>
      <c r="C547" s="1391"/>
      <c r="D547" s="1391"/>
      <c r="E547" s="1391"/>
      <c r="F547" s="1391"/>
      <c r="G547" s="1391"/>
      <c r="H547" s="1391"/>
      <c r="I547" s="1391"/>
      <c r="J547" s="1424"/>
      <c r="K547" s="1424"/>
      <c r="L547" s="1391"/>
      <c r="M547" s="1424"/>
      <c r="N547" s="1424"/>
      <c r="O547" s="1485" t="str">
        <f>B547</f>
        <v>START-UP AND RESERVES</v>
      </c>
      <c r="P547" s="1424"/>
      <c r="Q547" s="1424"/>
      <c r="R547" s="1391"/>
      <c r="S547" s="1424"/>
      <c r="T547" s="1424"/>
      <c r="U547" s="1391"/>
      <c r="V547" s="1391"/>
      <c r="W547" s="1391" t="str">
        <f>B547</f>
        <v>START-UP AND RESERVES</v>
      </c>
      <c r="X547" s="1391"/>
    </row>
    <row r="548" spans="1:24">
      <c r="A548" s="1391"/>
      <c r="B548" s="1391" t="s">
        <v>262</v>
      </c>
      <c r="C548" s="1391"/>
      <c r="D548" s="1391"/>
      <c r="E548" s="1391"/>
      <c r="F548" s="1391"/>
      <c r="G548" s="1424">
        <f>'Part IV-Uses of Funds'!G119</f>
        <v>35000</v>
      </c>
      <c r="H548" s="1424"/>
      <c r="I548" s="1391"/>
      <c r="J548" s="395"/>
      <c r="K548" s="395"/>
      <c r="L548" s="395"/>
      <c r="M548" s="395"/>
      <c r="N548" s="395"/>
      <c r="O548" s="1391"/>
      <c r="P548" s="395"/>
      <c r="Q548" s="395"/>
      <c r="R548" s="1391"/>
      <c r="S548" s="1424">
        <f>'Part IV-Uses of Funds'!S119</f>
        <v>35000</v>
      </c>
      <c r="T548" s="1424"/>
      <c r="U548" s="1391"/>
      <c r="V548" s="1441">
        <f>'Part IV-Uses of Funds'!V119</f>
        <v>0</v>
      </c>
      <c r="W548" s="1477">
        <f>'Part IV-Uses of Funds'!W119</f>
        <v>0</v>
      </c>
      <c r="X548" s="1477"/>
    </row>
    <row r="549" spans="1:24">
      <c r="A549" s="1391"/>
      <c r="B549" s="1391" t="s">
        <v>1593</v>
      </c>
      <c r="C549" s="1391"/>
      <c r="D549" s="1391"/>
      <c r="E549" s="1391"/>
      <c r="F549" s="1441">
        <f>+'Part VI-Revenues &amp; Expenses'!$P$176*('DCA Underwriting Assumptions'!$Q$105/12)</f>
        <v>386556.5</v>
      </c>
      <c r="G549" s="1424">
        <f>'Part IV-Uses of Funds'!G120</f>
        <v>386556.5</v>
      </c>
      <c r="H549" s="1424"/>
      <c r="I549" s="1391"/>
      <c r="J549" s="1424"/>
      <c r="K549" s="1424"/>
      <c r="L549" s="1395"/>
      <c r="M549" s="1424"/>
      <c r="N549" s="1424"/>
      <c r="O549" s="1391"/>
      <c r="P549" s="1424"/>
      <c r="Q549" s="1424"/>
      <c r="R549" s="1391"/>
      <c r="S549" s="1424">
        <f>'Part IV-Uses of Funds'!S120</f>
        <v>386556.5</v>
      </c>
      <c r="T549" s="1424"/>
      <c r="U549" s="1391"/>
      <c r="V549" s="1441">
        <f>'Part IV-Uses of Funds'!V120</f>
        <v>0</v>
      </c>
      <c r="W549" s="1477"/>
      <c r="X549" s="1477"/>
    </row>
    <row r="550" spans="1:24">
      <c r="A550" s="1391"/>
      <c r="B550" s="1391" t="s">
        <v>704</v>
      </c>
      <c r="C550" s="1391"/>
      <c r="D550" s="1391"/>
      <c r="E550" s="1391"/>
      <c r="F550" s="1500">
        <f>'Part VI-Revenues &amp; Expenses'!$P$176*('DCA Underwriting Assumptions'!$Q$104/12)+('Part VII-Pro Forma'!$B$23+'Part VII-Pro Forma'!$B$24+'Part VII-Pro Forma'!$B$25+'Part VII-Pro Forma'!$B$26)*'DCA Underwriting Assumptions'!$Q$103/(-12)</f>
        <v>1061490.5438886317</v>
      </c>
      <c r="G550" s="1424">
        <f>'Part IV-Uses of Funds'!G121</f>
        <v>1035940</v>
      </c>
      <c r="H550" s="1424"/>
      <c r="I550" s="1391"/>
      <c r="J550" s="395"/>
      <c r="K550" s="395"/>
      <c r="L550" s="395"/>
      <c r="M550" s="395"/>
      <c r="N550" s="395"/>
      <c r="O550" s="1391"/>
      <c r="P550" s="395"/>
      <c r="Q550" s="395"/>
      <c r="R550" s="1391"/>
      <c r="S550" s="1424">
        <f>'Part IV-Uses of Funds'!S121</f>
        <v>1035940</v>
      </c>
      <c r="T550" s="1424"/>
      <c r="U550" s="1391"/>
      <c r="V550" s="1441">
        <f>'Part IV-Uses of Funds'!V121</f>
        <v>0</v>
      </c>
      <c r="W550" s="1477"/>
      <c r="X550" s="1477"/>
    </row>
    <row r="551" spans="1:24">
      <c r="A551" s="1391"/>
      <c r="B551" s="1391" t="s">
        <v>1291</v>
      </c>
      <c r="C551" s="1391"/>
      <c r="D551" s="1391"/>
      <c r="E551" s="1391"/>
      <c r="F551" s="1391"/>
      <c r="G551" s="1424">
        <f>'Part IV-Uses of Funds'!G122</f>
        <v>0</v>
      </c>
      <c r="H551" s="1424"/>
      <c r="I551" s="1391"/>
      <c r="J551" s="395"/>
      <c r="K551" s="395"/>
      <c r="L551" s="395"/>
      <c r="M551" s="395"/>
      <c r="N551" s="395"/>
      <c r="O551" s="1391"/>
      <c r="P551" s="395"/>
      <c r="Q551" s="395"/>
      <c r="R551" s="1391"/>
      <c r="S551" s="1424">
        <f>'Part IV-Uses of Funds'!S122</f>
        <v>0</v>
      </c>
      <c r="T551" s="1424"/>
      <c r="U551" s="1391"/>
      <c r="V551" s="1441">
        <f>'Part IV-Uses of Funds'!V122</f>
        <v>0</v>
      </c>
      <c r="W551" s="1477"/>
      <c r="X551" s="1477"/>
    </row>
    <row r="552" spans="1:24">
      <c r="A552" s="1391"/>
      <c r="B552" s="1391" t="s">
        <v>1292</v>
      </c>
      <c r="C552" s="1391"/>
      <c r="D552" s="1391"/>
      <c r="E552" s="328" t="s">
        <v>3852</v>
      </c>
      <c r="F552" s="1501">
        <f>IF('Part VI-Revenues &amp; Expenses'!$O$62=0,0,G552/'Part VI-Revenues &amp; Expenses'!$O$62)</f>
        <v>848.83774038461536</v>
      </c>
      <c r="G552" s="1424">
        <f>'Part IV-Uses of Funds'!G123</f>
        <v>176558.25</v>
      </c>
      <c r="H552" s="1424"/>
      <c r="I552" s="1391"/>
      <c r="J552" s="1424">
        <f>'Part IV-Uses of Funds'!J123</f>
        <v>0</v>
      </c>
      <c r="K552" s="1424"/>
      <c r="L552" s="1395"/>
      <c r="M552" s="1424">
        <f>'Part IV-Uses of Funds'!M123</f>
        <v>0</v>
      </c>
      <c r="N552" s="1424"/>
      <c r="O552" s="1391"/>
      <c r="P552" s="1424">
        <f>'Part IV-Uses of Funds'!P123</f>
        <v>176558.25</v>
      </c>
      <c r="Q552" s="1424"/>
      <c r="R552" s="1391"/>
      <c r="S552" s="1424">
        <f>'Part IV-Uses of Funds'!S123</f>
        <v>0</v>
      </c>
      <c r="T552" s="1424"/>
      <c r="U552" s="1391"/>
      <c r="V552" s="1441">
        <f>'Part IV-Uses of Funds'!V123</f>
        <v>0</v>
      </c>
      <c r="W552" s="1477"/>
      <c r="X552" s="1477"/>
    </row>
    <row r="553" spans="1:24" ht="15.75">
      <c r="A553" s="1483" t="str">
        <f>IF(AND(G553&gt;0,OR(C553="",C553="&lt;Enter detailed description here; use Comments section if needed&gt;")),"X","")</f>
        <v/>
      </c>
      <c r="B553" s="1391" t="s">
        <v>771</v>
      </c>
      <c r="C553" s="1391" t="str">
        <f>'Part IV-Uses of Funds'!C124</f>
        <v>Working Capital</v>
      </c>
      <c r="D553" s="1391"/>
      <c r="E553" s="1391"/>
      <c r="F553" s="1391"/>
      <c r="G553" s="1424">
        <f>'Part IV-Uses of Funds'!G124</f>
        <v>460000</v>
      </c>
      <c r="H553" s="1424"/>
      <c r="I553" s="1391"/>
      <c r="J553" s="1424">
        <f>'Part IV-Uses of Funds'!J124</f>
        <v>0</v>
      </c>
      <c r="K553" s="1424"/>
      <c r="L553" s="1395"/>
      <c r="M553" s="1424">
        <f>'Part IV-Uses of Funds'!M124</f>
        <v>0</v>
      </c>
      <c r="N553" s="1424"/>
      <c r="O553" s="1391"/>
      <c r="P553" s="1424">
        <f>'Part IV-Uses of Funds'!P124</f>
        <v>0</v>
      </c>
      <c r="Q553" s="1424"/>
      <c r="R553" s="1391"/>
      <c r="S553" s="1424">
        <f>'Part IV-Uses of Funds'!S124</f>
        <v>460000</v>
      </c>
      <c r="T553" s="1424"/>
      <c r="U553" s="296" t="str">
        <f>IF(AND(G553&gt;0,OR(C553="",C553="&lt;Enter detailed description here; use Comments section if needed&gt;")),"NO DESCRIPTION PROVIDED - please enter detailed description in Other box at left; use Comments section below if needed.","")</f>
        <v/>
      </c>
      <c r="V553" s="1441">
        <f>'Part IV-Uses of Funds'!V124</f>
        <v>0</v>
      </c>
      <c r="W553" s="1477"/>
      <c r="X553" s="1477"/>
    </row>
    <row r="554" spans="1:24">
      <c r="A554" s="1391"/>
      <c r="B554" s="1502"/>
      <c r="C554" s="1391"/>
      <c r="D554" s="1391"/>
      <c r="E554" s="1391"/>
      <c r="F554" s="1484" t="s">
        <v>197</v>
      </c>
      <c r="G554" s="1424">
        <f>SUM(G548:H553)</f>
        <v>2094054.75</v>
      </c>
      <c r="H554" s="1424"/>
      <c r="I554" s="1391"/>
      <c r="J554" s="1424">
        <f>SUM(J552:K553)</f>
        <v>0</v>
      </c>
      <c r="K554" s="1424"/>
      <c r="L554" s="1395"/>
      <c r="M554" s="1424">
        <f>SUM(M552:N553)</f>
        <v>0</v>
      </c>
      <c r="N554" s="1424"/>
      <c r="O554" s="1391"/>
      <c r="P554" s="1424">
        <f>SUM(P552:Q553)</f>
        <v>176558.25</v>
      </c>
      <c r="Q554" s="1424"/>
      <c r="R554" s="1391"/>
      <c r="S554" s="1424">
        <f>SUM(S548:T553)</f>
        <v>1917496.5</v>
      </c>
      <c r="T554" s="1424"/>
      <c r="U554" s="1391"/>
      <c r="V554" s="1441">
        <f>SUM(V548:V553)</f>
        <v>0</v>
      </c>
      <c r="W554" s="1477"/>
      <c r="X554" s="1477"/>
    </row>
    <row r="555" spans="1:24">
      <c r="A555" s="1391"/>
      <c r="B555" s="340" t="s">
        <v>634</v>
      </c>
      <c r="C555" s="1386"/>
      <c r="D555" s="1391"/>
      <c r="E555" s="1391"/>
      <c r="F555" s="1391"/>
      <c r="G555" s="1391"/>
      <c r="H555" s="393"/>
      <c r="I555" s="393"/>
      <c r="J555" s="1424"/>
      <c r="K555" s="1424"/>
      <c r="L555" s="1391"/>
      <c r="M555" s="1424"/>
      <c r="N555" s="1424"/>
      <c r="O555" s="1485" t="str">
        <f>B555</f>
        <v>OTHER COSTS</v>
      </c>
      <c r="P555" s="1424"/>
      <c r="Q555" s="1424"/>
      <c r="R555" s="1391"/>
      <c r="S555" s="1424"/>
      <c r="T555" s="1424"/>
      <c r="U555" s="1391"/>
      <c r="V555" s="1391"/>
      <c r="W555" s="1391" t="str">
        <f>B555</f>
        <v>OTHER COSTS</v>
      </c>
      <c r="X555" s="1391"/>
    </row>
    <row r="556" spans="1:24">
      <c r="A556" s="1391"/>
      <c r="B556" s="1391" t="s">
        <v>635</v>
      </c>
      <c r="C556" s="1386"/>
      <c r="D556" s="1391"/>
      <c r="E556" s="1391"/>
      <c r="F556" s="1391"/>
      <c r="G556" s="1424">
        <f>'Part IV-Uses of Funds'!G127</f>
        <v>238990</v>
      </c>
      <c r="H556" s="1424"/>
      <c r="I556" s="1391"/>
      <c r="J556" s="1424">
        <f>'Part IV-Uses of Funds'!J127</f>
        <v>0</v>
      </c>
      <c r="K556" s="1424"/>
      <c r="L556" s="1485"/>
      <c r="M556" s="1424">
        <f>'Part IV-Uses of Funds'!M127</f>
        <v>0</v>
      </c>
      <c r="N556" s="1424"/>
      <c r="O556" s="1391"/>
      <c r="P556" s="1424">
        <f>'Part IV-Uses of Funds'!P127</f>
        <v>238990</v>
      </c>
      <c r="Q556" s="1424"/>
      <c r="R556" s="1391"/>
      <c r="S556" s="1424">
        <f>'Part IV-Uses of Funds'!S127</f>
        <v>0</v>
      </c>
      <c r="T556" s="1424"/>
      <c r="U556" s="1391"/>
      <c r="V556" s="1441">
        <f>'Part IV-Uses of Funds'!V127</f>
        <v>0</v>
      </c>
      <c r="W556" s="1477">
        <f>'Part IV-Uses of Funds'!W127</f>
        <v>0</v>
      </c>
      <c r="X556" s="1477"/>
    </row>
    <row r="557" spans="1:24" ht="15.75">
      <c r="A557" s="1483" t="str">
        <f>IF(AND(G557&gt;0,OR(C557="",C557="&lt;Enter detailed description here; use Comments section if needed&gt;")),"X","")</f>
        <v/>
      </c>
      <c r="B557" s="1391" t="s">
        <v>771</v>
      </c>
      <c r="C557" s="1391" t="str">
        <f>'Part IV-Uses of Funds'!C128</f>
        <v>&lt;&lt; Enter description here; provide detail &amp; justification in tab Part IV-b &gt;&gt;</v>
      </c>
      <c r="D557" s="1391"/>
      <c r="E557" s="1391"/>
      <c r="F557" s="1391"/>
      <c r="G557" s="1424">
        <f>'Part IV-Uses of Funds'!G128</f>
        <v>0</v>
      </c>
      <c r="H557" s="1424"/>
      <c r="I557" s="1391"/>
      <c r="J557" s="1424">
        <f>'Part IV-Uses of Funds'!J128</f>
        <v>0</v>
      </c>
      <c r="K557" s="1424"/>
      <c r="L557" s="1395"/>
      <c r="M557" s="1424">
        <f>'Part IV-Uses of Funds'!M128</f>
        <v>0</v>
      </c>
      <c r="N557" s="1424"/>
      <c r="O557" s="1391"/>
      <c r="P557" s="1424">
        <f>'Part IV-Uses of Funds'!P128</f>
        <v>0</v>
      </c>
      <c r="Q557" s="1424"/>
      <c r="R557" s="1391"/>
      <c r="S557" s="1424">
        <f>'Part IV-Uses of Funds'!S128</f>
        <v>0</v>
      </c>
      <c r="T557" s="1424"/>
      <c r="U557" s="296" t="str">
        <f>IF(AND(G557&gt;0,OR(C557="",C557="&lt;Enter detailed description here; use Comments section if needed&gt;")),"NO DESCRIPTION PROVIDED - please enter detailed description in Other box at left; use Comments section below if needed.","")</f>
        <v/>
      </c>
      <c r="V557" s="1441">
        <f>'Part IV-Uses of Funds'!V128</f>
        <v>0</v>
      </c>
      <c r="W557" s="1477"/>
      <c r="X557" s="1477"/>
    </row>
    <row r="558" spans="1:24">
      <c r="A558" s="1391"/>
      <c r="B558" s="1391"/>
      <c r="C558" s="1386"/>
      <c r="D558" s="1391"/>
      <c r="E558" s="1391"/>
      <c r="F558" s="1484" t="s">
        <v>197</v>
      </c>
      <c r="G558" s="1424">
        <f>SUM(G556:H557)</f>
        <v>238990</v>
      </c>
      <c r="H558" s="1424"/>
      <c r="I558" s="1391"/>
      <c r="J558" s="1424">
        <f>SUM(J556:K557)</f>
        <v>0</v>
      </c>
      <c r="K558" s="1424"/>
      <c r="L558" s="1395"/>
      <c r="M558" s="1424">
        <f>SUM(M556:N557)</f>
        <v>0</v>
      </c>
      <c r="N558" s="1424"/>
      <c r="O558" s="1391"/>
      <c r="P558" s="1424">
        <f>SUM(P556:Q557)</f>
        <v>238990</v>
      </c>
      <c r="Q558" s="1424"/>
      <c r="R558" s="1391"/>
      <c r="S558" s="1424">
        <f>SUM(S556:T557)</f>
        <v>0</v>
      </c>
      <c r="T558" s="1424"/>
      <c r="U558" s="1391"/>
      <c r="V558" s="1441">
        <f>SUM(V556:V557)</f>
        <v>0</v>
      </c>
      <c r="W558" s="1477"/>
      <c r="X558" s="1477"/>
    </row>
    <row r="559" spans="1:24">
      <c r="A559" s="1391"/>
      <c r="B559" s="1391"/>
      <c r="C559" s="1386"/>
      <c r="D559" s="1391"/>
      <c r="E559" s="1391"/>
      <c r="F559" s="1391"/>
      <c r="G559" s="1391"/>
      <c r="H559" s="393"/>
      <c r="I559" s="393"/>
      <c r="J559" s="1391"/>
      <c r="K559" s="1391"/>
      <c r="L559" s="1391"/>
      <c r="M559" s="1391"/>
      <c r="N559" s="1391"/>
      <c r="O559" s="1391"/>
      <c r="P559" s="1391"/>
      <c r="Q559" s="1391"/>
      <c r="R559" s="1391"/>
      <c r="S559" s="1391"/>
      <c r="T559" s="1391"/>
      <c r="U559" s="1391"/>
      <c r="V559" s="1391"/>
      <c r="W559" s="1477"/>
      <c r="X559" s="1477"/>
    </row>
    <row r="560" spans="1:24">
      <c r="A560" s="1391"/>
      <c r="B560" s="296" t="s">
        <v>2886</v>
      </c>
      <c r="C560" s="1391"/>
      <c r="D560" s="1391"/>
      <c r="E560" s="1391"/>
      <c r="F560" s="1391"/>
      <c r="G560" s="1503">
        <f ca="1">G446+G452+G456+G462+G467+G470+G476+G493+G506+G512+G520+G534+G540+G546+G554+G558</f>
        <v>25231313.324578471</v>
      </c>
      <c r="H560" s="1503"/>
      <c r="I560" s="1391"/>
      <c r="J560" s="1503">
        <f>J446+J452+J456+J462+J467+J470+J476+J493+J506+J512+J520+J534+J540+J546+J554+J558</f>
        <v>0</v>
      </c>
      <c r="K560" s="1503"/>
      <c r="L560" s="1391"/>
      <c r="M560" s="1503">
        <f>M446+M452+M456+M462+M467+M470+M476+M493+M506+M512+M520+M534+M540+M546+M554+M558</f>
        <v>1300000</v>
      </c>
      <c r="N560" s="1503"/>
      <c r="O560" s="1391"/>
      <c r="P560" s="1503">
        <f>P446+P452+P456+P462+P467+P470+P476+P493+P506+P512+P520+P534+P540+P546+P554+P558</f>
        <v>20205163.399999999</v>
      </c>
      <c r="Q560" s="1503"/>
      <c r="R560" s="1391"/>
      <c r="S560" s="1503">
        <f ca="1">S446+S452+S456+S462+S467+S470+S476+S493+S506+S512+S520+S534+S540+S546+S554+S558</f>
        <v>3726149.6445784699</v>
      </c>
      <c r="T560" s="1503"/>
      <c r="U560" s="1391"/>
      <c r="V560" s="1441">
        <f>V446+V452+V456+V462+V467+V470+V476+V493+V506+V512+V520+V534+V540+V546+V554+V558</f>
        <v>0</v>
      </c>
      <c r="W560" s="1477"/>
      <c r="X560" s="1477"/>
    </row>
    <row r="561" spans="1:24">
      <c r="A561" s="1391"/>
      <c r="B561" s="1391"/>
      <c r="C561" s="1386"/>
      <c r="D561" s="1391"/>
      <c r="E561" s="1391"/>
      <c r="F561" s="1391"/>
      <c r="G561" s="1391"/>
      <c r="H561" s="393"/>
      <c r="I561" s="393"/>
      <c r="J561" s="1391"/>
      <c r="K561" s="1391"/>
      <c r="L561" s="1391"/>
      <c r="M561" s="1391"/>
      <c r="N561" s="1391"/>
      <c r="O561" s="1391"/>
      <c r="P561" s="1391"/>
      <c r="Q561" s="1391"/>
      <c r="R561" s="1391"/>
      <c r="S561" s="1391"/>
      <c r="T561" s="1391"/>
      <c r="U561" s="1391"/>
      <c r="V561" s="1391"/>
      <c r="W561" s="1391"/>
      <c r="X561" s="1391"/>
    </row>
    <row r="562" spans="1:24">
      <c r="A562" s="1391"/>
      <c r="B562" s="1504" t="s">
        <v>2881</v>
      </c>
      <c r="C562" s="1491"/>
      <c r="D562" s="1505">
        <f ca="1">IF('Part VI-Revenues &amp; Expenses'!$O$62=0,0,G560/'Part VI-Revenues &amp; Expenses'!$O$62)</f>
        <v>121304.39098355034</v>
      </c>
      <c r="E562" s="1505"/>
      <c r="F562" s="1498" t="s">
        <v>2880</v>
      </c>
      <c r="G562" s="1505">
        <f ca="1">IF('Part I-Project Information'!$P$60=0,0,G560/'Part I-Project Information'!$P$60)</f>
        <v>170.01545304488008</v>
      </c>
      <c r="H562" s="1505"/>
      <c r="I562" s="398"/>
      <c r="J562" s="1391"/>
      <c r="K562" s="1391"/>
      <c r="L562" s="1391"/>
      <c r="M562" s="1391"/>
      <c r="N562" s="1391"/>
      <c r="O562" s="1391"/>
      <c r="P562" s="1391"/>
      <c r="Q562" s="1391"/>
      <c r="R562" s="1391"/>
      <c r="S562" s="1391"/>
      <c r="T562" s="1391"/>
      <c r="U562" s="1391"/>
      <c r="V562" s="1391"/>
      <c r="W562" s="1391"/>
      <c r="X562" s="1391"/>
    </row>
    <row r="563" spans="1:24">
      <c r="A563" s="1391"/>
      <c r="B563" s="1391"/>
      <c r="C563" s="1391"/>
      <c r="D563" s="1391"/>
      <c r="E563" s="1391"/>
      <c r="F563" s="1391"/>
      <c r="G563" s="1391"/>
      <c r="H563" s="1391"/>
      <c r="I563" s="398"/>
      <c r="J563" s="1391"/>
      <c r="K563" s="1391"/>
      <c r="L563" s="398"/>
      <c r="M563" s="1391"/>
      <c r="N563" s="1391"/>
      <c r="O563" s="1391"/>
      <c r="P563" s="1391"/>
      <c r="Q563" s="1391"/>
      <c r="R563" s="1391"/>
      <c r="S563" s="1391"/>
      <c r="T563" s="1391"/>
      <c r="U563" s="1391"/>
      <c r="V563" s="1391"/>
      <c r="W563" s="1391"/>
      <c r="X563" s="1391"/>
    </row>
    <row r="564" spans="1:24">
      <c r="A564" s="1391"/>
      <c r="B564" s="1391"/>
      <c r="C564" s="1391"/>
      <c r="D564" s="1386"/>
      <c r="E564" s="1386"/>
      <c r="F564" s="1391"/>
      <c r="G564" s="1391"/>
      <c r="H564" s="1391"/>
      <c r="I564" s="393"/>
      <c r="J564" s="393"/>
      <c r="K564" s="399"/>
      <c r="L564" s="1386"/>
      <c r="M564" s="1391"/>
      <c r="N564" s="1391"/>
      <c r="O564" s="1391"/>
      <c r="P564" s="1391"/>
      <c r="Q564" s="1391"/>
      <c r="R564" s="1391"/>
      <c r="S564" s="1391"/>
      <c r="T564" s="1391"/>
      <c r="U564" s="1391"/>
      <c r="V564" s="1391"/>
      <c r="W564" s="1391"/>
      <c r="X564" s="1391"/>
    </row>
    <row r="565" spans="1:24" ht="16.5" customHeight="1">
      <c r="A565" s="1478" t="s">
        <v>770</v>
      </c>
      <c r="B565" s="476" t="s">
        <v>1480</v>
      </c>
      <c r="C565" s="1174"/>
      <c r="D565" s="1395"/>
      <c r="E565" s="1395"/>
      <c r="F565" s="1395"/>
      <c r="G565" s="1391"/>
      <c r="H565" s="1391"/>
      <c r="I565" s="400"/>
      <c r="J565" s="1479" t="s">
        <v>283</v>
      </c>
      <c r="K565" s="1479"/>
      <c r="L565" s="1391"/>
      <c r="M565" s="1479" t="s">
        <v>102</v>
      </c>
      <c r="N565" s="1479"/>
      <c r="O565" s="1391"/>
      <c r="P565" s="1479" t="s">
        <v>284</v>
      </c>
      <c r="Q565" s="1479"/>
      <c r="R565" s="1391"/>
      <c r="S565" s="1391"/>
      <c r="T565" s="1391"/>
      <c r="U565" s="1391"/>
      <c r="V565" s="1391"/>
      <c r="W565" s="1481" t="str">
        <f>B565</f>
        <v>TAX CREDIT CALCULATION - BASIS METHOD</v>
      </c>
      <c r="X565" s="1391"/>
    </row>
    <row r="566" spans="1:24">
      <c r="A566" s="1391"/>
      <c r="B566" s="296" t="s">
        <v>2122</v>
      </c>
      <c r="C566" s="1391"/>
      <c r="D566" s="1395"/>
      <c r="E566" s="1395"/>
      <c r="F566" s="1391"/>
      <c r="G566" s="1391"/>
      <c r="H566" s="1391"/>
      <c r="I566" s="400"/>
      <c r="J566" s="1479"/>
      <c r="K566" s="1479"/>
      <c r="L566" s="1174"/>
      <c r="M566" s="1479"/>
      <c r="N566" s="1479"/>
      <c r="O566" s="1391"/>
      <c r="P566" s="1479"/>
      <c r="Q566" s="1479"/>
      <c r="R566" s="1391"/>
      <c r="S566" s="1391"/>
      <c r="T566" s="1391"/>
      <c r="U566" s="1391"/>
      <c r="V566" s="1391"/>
      <c r="W566" s="1391" t="str">
        <f>B566</f>
        <v>Subtractions From Eligible Basis</v>
      </c>
      <c r="X566" s="354"/>
    </row>
    <row r="567" spans="1:24">
      <c r="A567" s="1391"/>
      <c r="B567" s="1391"/>
      <c r="C567" s="1391"/>
      <c r="D567" s="1386"/>
      <c r="E567" s="1386"/>
      <c r="F567" s="1391"/>
      <c r="G567" s="1391"/>
      <c r="H567" s="1391"/>
      <c r="I567" s="393"/>
      <c r="J567" s="393"/>
      <c r="K567" s="399"/>
      <c r="L567" s="1386"/>
      <c r="M567" s="1391"/>
      <c r="N567" s="1391"/>
      <c r="O567" s="1391"/>
      <c r="P567" s="1391"/>
      <c r="Q567" s="1391"/>
      <c r="R567" s="1391"/>
      <c r="S567" s="1391"/>
      <c r="T567" s="1391"/>
      <c r="U567" s="1391"/>
      <c r="V567" s="1391"/>
      <c r="W567" s="1391"/>
      <c r="X567" s="1391"/>
    </row>
    <row r="568" spans="1:24">
      <c r="A568" s="1391"/>
      <c r="B568" s="1386" t="s">
        <v>146</v>
      </c>
      <c r="C568" s="1391"/>
      <c r="D568" s="1391"/>
      <c r="E568" s="1391"/>
      <c r="F568" s="1391"/>
      <c r="G568" s="1391"/>
      <c r="H568" s="1391"/>
      <c r="I568" s="400"/>
      <c r="J568" s="1467">
        <f>'Part IV-Uses of Funds'!J139</f>
        <v>0</v>
      </c>
      <c r="K568" s="1467"/>
      <c r="L568" s="1391"/>
      <c r="M568" s="1391"/>
      <c r="N568" s="1391"/>
      <c r="O568" s="1391"/>
      <c r="P568" s="1467">
        <f>'Part IV-Uses of Funds'!P139</f>
        <v>0</v>
      </c>
      <c r="Q568" s="1467"/>
      <c r="R568" s="1391"/>
      <c r="S568" s="1391"/>
      <c r="T568" s="1391"/>
      <c r="U568" s="1391"/>
      <c r="V568" s="1441">
        <f>'Part IV-Uses of Funds'!V139</f>
        <v>0</v>
      </c>
      <c r="W568" s="1477">
        <f>'Part IV-Uses of Funds'!W139</f>
        <v>0</v>
      </c>
      <c r="X568" s="1477"/>
    </row>
    <row r="569" spans="1:24">
      <c r="A569" s="1391"/>
      <c r="B569" s="1391" t="s">
        <v>2230</v>
      </c>
      <c r="C569" s="1391"/>
      <c r="D569" s="1391"/>
      <c r="E569" s="1391"/>
      <c r="F569" s="1391"/>
      <c r="G569" s="1391"/>
      <c r="H569" s="1391"/>
      <c r="I569" s="400"/>
      <c r="J569" s="1467">
        <f>'Part IV-Uses of Funds'!J140</f>
        <v>0</v>
      </c>
      <c r="K569" s="1467"/>
      <c r="L569" s="1391"/>
      <c r="M569" s="1391"/>
      <c r="N569" s="1391"/>
      <c r="O569" s="1391"/>
      <c r="P569" s="1467">
        <f>'Part IV-Uses of Funds'!P140</f>
        <v>0</v>
      </c>
      <c r="Q569" s="1467"/>
      <c r="R569" s="1391"/>
      <c r="S569" s="1391"/>
      <c r="T569" s="1391"/>
      <c r="U569" s="1391"/>
      <c r="V569" s="1441">
        <f>'Part IV-Uses of Funds'!V140</f>
        <v>0</v>
      </c>
      <c r="W569" s="1477"/>
      <c r="X569" s="1477"/>
    </row>
    <row r="570" spans="1:24">
      <c r="A570" s="1391"/>
      <c r="B570" s="1391" t="s">
        <v>1933</v>
      </c>
      <c r="C570" s="1391"/>
      <c r="D570" s="1391"/>
      <c r="E570" s="1391"/>
      <c r="F570" s="1391"/>
      <c r="G570" s="1391"/>
      <c r="H570" s="1391"/>
      <c r="I570" s="400"/>
      <c r="J570" s="1467">
        <f>'Part IV-Uses of Funds'!J141</f>
        <v>0</v>
      </c>
      <c r="K570" s="1467"/>
      <c r="L570" s="1391"/>
      <c r="M570" s="1391"/>
      <c r="N570" s="1391"/>
      <c r="O570" s="1391"/>
      <c r="P570" s="1467">
        <f>'Part IV-Uses of Funds'!P141</f>
        <v>0</v>
      </c>
      <c r="Q570" s="1467"/>
      <c r="R570" s="1391"/>
      <c r="S570" s="1391"/>
      <c r="T570" s="1391"/>
      <c r="U570" s="1391"/>
      <c r="V570" s="1441">
        <f>'Part IV-Uses of Funds'!V141</f>
        <v>0</v>
      </c>
      <c r="W570" s="1477"/>
      <c r="X570" s="1477"/>
    </row>
    <row r="571" spans="1:24">
      <c r="A571" s="1391"/>
      <c r="B571" s="1391" t="s">
        <v>1934</v>
      </c>
      <c r="C571" s="1391"/>
      <c r="D571" s="1391"/>
      <c r="E571" s="1391"/>
      <c r="F571" s="1391"/>
      <c r="G571" s="1391"/>
      <c r="H571" s="1391"/>
      <c r="I571" s="400"/>
      <c r="J571" s="1467">
        <f>'Part IV-Uses of Funds'!J142</f>
        <v>0</v>
      </c>
      <c r="K571" s="1467"/>
      <c r="L571" s="1391"/>
      <c r="M571" s="1391"/>
      <c r="N571" s="1391"/>
      <c r="O571" s="1391"/>
      <c r="P571" s="1467">
        <f>'Part IV-Uses of Funds'!P142</f>
        <v>0</v>
      </c>
      <c r="Q571" s="1467"/>
      <c r="R571" s="1391"/>
      <c r="S571" s="1391"/>
      <c r="T571" s="1391"/>
      <c r="U571" s="1391"/>
      <c r="V571" s="1441">
        <f>'Part IV-Uses of Funds'!V142</f>
        <v>0</v>
      </c>
      <c r="W571" s="1477"/>
      <c r="X571" s="1477"/>
    </row>
    <row r="572" spans="1:24">
      <c r="A572" s="1391"/>
      <c r="B572" s="1391" t="s">
        <v>265</v>
      </c>
      <c r="C572" s="1391"/>
      <c r="D572" s="1391"/>
      <c r="E572" s="1391"/>
      <c r="F572" s="1391"/>
      <c r="G572" s="1391"/>
      <c r="H572" s="1391"/>
      <c r="I572" s="400"/>
      <c r="J572" s="1467">
        <f>'Part IV-Uses of Funds'!J143</f>
        <v>0</v>
      </c>
      <c r="K572" s="1467"/>
      <c r="L572" s="1391"/>
      <c r="M572" s="1391"/>
      <c r="N572" s="1391"/>
      <c r="O572" s="1391"/>
      <c r="P572" s="1467">
        <f>'Part IV-Uses of Funds'!P143</f>
        <v>0</v>
      </c>
      <c r="Q572" s="1467"/>
      <c r="R572" s="1391"/>
      <c r="S572" s="1391"/>
      <c r="T572" s="1391"/>
      <c r="U572" s="1391"/>
      <c r="V572" s="1441">
        <f>'Part IV-Uses of Funds'!V143</f>
        <v>0</v>
      </c>
      <c r="W572" s="1477"/>
      <c r="X572" s="1477"/>
    </row>
    <row r="573" spans="1:24">
      <c r="A573" s="1391"/>
      <c r="B573" s="1391" t="s">
        <v>1659</v>
      </c>
      <c r="C573" s="1391" t="str">
        <f>'Part IV-Uses of Funds'!C144</f>
        <v>&lt;Enter detailed description here; use Comments section if needed&gt;</v>
      </c>
      <c r="D573" s="1391"/>
      <c r="E573" s="1391"/>
      <c r="F573" s="1391"/>
      <c r="G573" s="1391"/>
      <c r="H573" s="1391"/>
      <c r="I573" s="1391"/>
      <c r="J573" s="1467">
        <f>'Part IV-Uses of Funds'!J144</f>
        <v>0</v>
      </c>
      <c r="K573" s="1467"/>
      <c r="L573" s="1391"/>
      <c r="M573" s="1391"/>
      <c r="N573" s="1391"/>
      <c r="O573" s="1391"/>
      <c r="P573" s="1467">
        <f>'Part IV-Uses of Funds'!P144</f>
        <v>0</v>
      </c>
      <c r="Q573" s="1467"/>
      <c r="R573" s="1391"/>
      <c r="S573" s="1391"/>
      <c r="T573" s="1391"/>
      <c r="U573" s="1391"/>
      <c r="V573" s="1441">
        <f>'Part IV-Uses of Funds'!V144</f>
        <v>0</v>
      </c>
      <c r="W573" s="1477"/>
      <c r="X573" s="1477"/>
    </row>
    <row r="574" spans="1:24">
      <c r="A574" s="1391"/>
      <c r="B574" s="340" t="s">
        <v>1935</v>
      </c>
      <c r="C574" s="343"/>
      <c r="D574" s="1391"/>
      <c r="E574" s="1391"/>
      <c r="F574" s="1391"/>
      <c r="G574" s="1391"/>
      <c r="H574" s="1391"/>
      <c r="I574" s="1391"/>
      <c r="J574" s="1467">
        <f>SUM(J568:K573)</f>
        <v>0</v>
      </c>
      <c r="K574" s="1467"/>
      <c r="L574" s="1391"/>
      <c r="M574" s="1391"/>
      <c r="N574" s="1391"/>
      <c r="O574" s="1391"/>
      <c r="P574" s="1467">
        <f>SUM(P568:Q573)</f>
        <v>0</v>
      </c>
      <c r="Q574" s="1467"/>
      <c r="R574" s="1391"/>
      <c r="S574" s="1391"/>
      <c r="T574" s="1391"/>
      <c r="U574" s="1391"/>
      <c r="V574" s="1441">
        <f>SUM(V568:V573)</f>
        <v>0</v>
      </c>
      <c r="W574" s="1477"/>
      <c r="X574" s="1477"/>
    </row>
    <row r="575" spans="1:24">
      <c r="A575" s="1391"/>
      <c r="B575" s="1391"/>
      <c r="C575" s="1391"/>
      <c r="D575" s="1391"/>
      <c r="E575" s="1391"/>
      <c r="F575" s="1391"/>
      <c r="G575" s="1391"/>
      <c r="H575" s="1391"/>
      <c r="I575" s="1391"/>
      <c r="J575" s="1391"/>
      <c r="K575" s="1391"/>
      <c r="L575" s="1391"/>
      <c r="M575" s="1391"/>
      <c r="N575" s="1391"/>
      <c r="O575" s="1391"/>
      <c r="P575" s="1391"/>
      <c r="Q575" s="1391"/>
      <c r="R575" s="1391"/>
      <c r="S575" s="1391"/>
      <c r="T575" s="1391"/>
      <c r="U575" s="1391"/>
      <c r="V575" s="1391"/>
      <c r="W575" s="1391"/>
      <c r="X575" s="1391"/>
    </row>
    <row r="576" spans="1:24">
      <c r="A576" s="1391"/>
      <c r="B576" s="340" t="s">
        <v>2421</v>
      </c>
      <c r="C576" s="1391"/>
      <c r="D576" s="1391"/>
      <c r="E576" s="1391"/>
      <c r="F576" s="1391"/>
      <c r="G576" s="1391"/>
      <c r="H576" s="1391"/>
      <c r="I576" s="1391"/>
      <c r="J576" s="1391"/>
      <c r="K576" s="1391"/>
      <c r="L576" s="1391"/>
      <c r="M576" s="1391"/>
      <c r="N576" s="1391"/>
      <c r="O576" s="1391"/>
      <c r="P576" s="1391"/>
      <c r="Q576" s="1391"/>
      <c r="R576" s="1391"/>
      <c r="S576" s="1391"/>
      <c r="T576" s="1391"/>
      <c r="U576" s="1391"/>
      <c r="V576" s="1391"/>
      <c r="W576" s="1391" t="str">
        <f>B576</f>
        <v>Eligible Basis Calculation</v>
      </c>
      <c r="X576" s="1391"/>
    </row>
    <row r="577" spans="1:24">
      <c r="A577" s="1391"/>
      <c r="B577" s="1391" t="s">
        <v>1856</v>
      </c>
      <c r="C577" s="1391"/>
      <c r="D577" s="1391"/>
      <c r="E577" s="1391"/>
      <c r="F577" s="1391"/>
      <c r="G577" s="1391"/>
      <c r="H577" s="1391"/>
      <c r="I577" s="1391"/>
      <c r="J577" s="1429">
        <f>J560</f>
        <v>0</v>
      </c>
      <c r="K577" s="1429"/>
      <c r="L577" s="1391"/>
      <c r="M577" s="1429">
        <f>M560</f>
        <v>1300000</v>
      </c>
      <c r="N577" s="1429"/>
      <c r="O577" s="1391"/>
      <c r="P577" s="1429">
        <f>P560</f>
        <v>20205163.399999999</v>
      </c>
      <c r="Q577" s="1429"/>
      <c r="R577" s="1391"/>
      <c r="S577" s="1391"/>
      <c r="T577" s="1391"/>
      <c r="U577" s="1391"/>
      <c r="V577" s="1441">
        <f>'Part IV-Uses of Funds'!V148</f>
        <v>0</v>
      </c>
      <c r="W577" s="1477">
        <f>'Part IV-Uses of Funds'!W148</f>
        <v>0</v>
      </c>
      <c r="X577" s="1477"/>
    </row>
    <row r="578" spans="1:24">
      <c r="A578" s="1391"/>
      <c r="B578" s="1391" t="s">
        <v>2299</v>
      </c>
      <c r="C578" s="1391"/>
      <c r="D578" s="1391"/>
      <c r="E578" s="1391"/>
      <c r="F578" s="1391"/>
      <c r="G578" s="1391"/>
      <c r="H578" s="1391"/>
      <c r="I578" s="1391"/>
      <c r="J578" s="1429">
        <f>J574</f>
        <v>0</v>
      </c>
      <c r="K578" s="1429"/>
      <c r="L578" s="1391"/>
      <c r="M578" s="1429"/>
      <c r="N578" s="1429"/>
      <c r="O578" s="1391"/>
      <c r="P578" s="1429">
        <f>P574</f>
        <v>0</v>
      </c>
      <c r="Q578" s="1429"/>
      <c r="R578" s="1391"/>
      <c r="S578" s="1391"/>
      <c r="T578" s="1391"/>
      <c r="U578" s="1391"/>
      <c r="V578" s="1441">
        <f>'Part IV-Uses of Funds'!V149</f>
        <v>0</v>
      </c>
      <c r="W578" s="1477"/>
      <c r="X578" s="1477"/>
    </row>
    <row r="579" spans="1:24">
      <c r="A579" s="1391"/>
      <c r="B579" s="1391" t="s">
        <v>2300</v>
      </c>
      <c r="C579" s="1391"/>
      <c r="D579" s="1391"/>
      <c r="E579" s="1391"/>
      <c r="F579" s="1391"/>
      <c r="G579" s="1391"/>
      <c r="H579" s="1391"/>
      <c r="I579" s="1391"/>
      <c r="J579" s="1429">
        <f>J577-J578</f>
        <v>0</v>
      </c>
      <c r="K579" s="1429"/>
      <c r="L579" s="1391"/>
      <c r="M579" s="1429">
        <f>M577</f>
        <v>1300000</v>
      </c>
      <c r="N579" s="1429"/>
      <c r="O579" s="1391"/>
      <c r="P579" s="1429">
        <f>P577-P578</f>
        <v>20205163.399999999</v>
      </c>
      <c r="Q579" s="1429"/>
      <c r="R579" s="1391"/>
      <c r="S579" s="1391"/>
      <c r="T579" s="1391"/>
      <c r="U579" s="1391"/>
      <c r="V579" s="1441">
        <f>'Part IV-Uses of Funds'!V150</f>
        <v>0</v>
      </c>
      <c r="W579" s="1477"/>
      <c r="X579" s="1477"/>
    </row>
    <row r="580" spans="1:24">
      <c r="A580" s="1391"/>
      <c r="B580" s="1391" t="s">
        <v>1542</v>
      </c>
      <c r="C580" s="1391"/>
      <c r="D580" s="1391"/>
      <c r="E580" s="1391"/>
      <c r="F580" s="1391"/>
      <c r="G580" s="1394" t="s">
        <v>1778</v>
      </c>
      <c r="H580" s="1391" t="str">
        <f>'Part IV-Uses of Funds'!H151</f>
        <v>DDA/QCT</v>
      </c>
      <c r="I580" s="1391"/>
      <c r="J580" s="1506">
        <f>'Part IV-Uses of Funds'!J151</f>
        <v>0</v>
      </c>
      <c r="K580" s="1506"/>
      <c r="L580" s="1391"/>
      <c r="M580" s="1506"/>
      <c r="N580" s="1506"/>
      <c r="O580" s="1391"/>
      <c r="P580" s="1506">
        <f>'Part IV-Uses of Funds'!P151</f>
        <v>1.3</v>
      </c>
      <c r="Q580" s="1506"/>
      <c r="R580" s="1391"/>
      <c r="S580" s="1391"/>
      <c r="T580" s="1391"/>
      <c r="U580" s="1391"/>
      <c r="V580" s="1441">
        <f>'Part IV-Uses of Funds'!V151</f>
        <v>0</v>
      </c>
      <c r="W580" s="1477"/>
      <c r="X580" s="1477"/>
    </row>
    <row r="581" spans="1:24">
      <c r="A581" s="1391"/>
      <c r="B581" s="1391" t="s">
        <v>2132</v>
      </c>
      <c r="C581" s="1391"/>
      <c r="D581" s="1391"/>
      <c r="E581" s="1391"/>
      <c r="F581" s="1391"/>
      <c r="G581" s="1391"/>
      <c r="H581" s="1391"/>
      <c r="I581" s="1391"/>
      <c r="J581" s="1429">
        <f>J579*J580</f>
        <v>0</v>
      </c>
      <c r="K581" s="1429"/>
      <c r="L581" s="1391"/>
      <c r="M581" s="1429">
        <f>+M579</f>
        <v>1300000</v>
      </c>
      <c r="N581" s="1429"/>
      <c r="O581" s="1391"/>
      <c r="P581" s="1429">
        <f>P579*P580</f>
        <v>26266712.419999998</v>
      </c>
      <c r="Q581" s="1429"/>
      <c r="R581" s="1391"/>
      <c r="S581" s="1391"/>
      <c r="T581" s="1391"/>
      <c r="U581" s="1391"/>
      <c r="V581" s="1441">
        <f>'Part IV-Uses of Funds'!V152</f>
        <v>0</v>
      </c>
      <c r="W581" s="1477"/>
      <c r="X581" s="1477"/>
    </row>
    <row r="582" spans="1:24">
      <c r="A582" s="1391"/>
      <c r="B582" s="1391" t="s">
        <v>2629</v>
      </c>
      <c r="C582" s="1391"/>
      <c r="D582" s="1391"/>
      <c r="E582" s="1391"/>
      <c r="F582" s="1391"/>
      <c r="G582" s="1391"/>
      <c r="H582" s="1391"/>
      <c r="I582" s="1391"/>
      <c r="J582" s="1507">
        <f>MIN('Part VI-Revenues &amp; Expenses'!$O$58/'Part VI-Revenues &amp; Expenses'!$O$60,'Part VI-Revenues &amp; Expenses'!$O$115/'Part VI-Revenues &amp; Expenses'!$O$117)</f>
        <v>1</v>
      </c>
      <c r="K582" s="1507"/>
      <c r="L582" s="1391"/>
      <c r="M582" s="1507">
        <f>MIN('Part VI-Revenues &amp; Expenses'!$O$58/'Part VI-Revenues &amp; Expenses'!$O$60,'Part VI-Revenues &amp; Expenses'!$O$115/'Part VI-Revenues &amp; Expenses'!$O$117)</f>
        <v>1</v>
      </c>
      <c r="N582" s="1507"/>
      <c r="O582" s="1391"/>
      <c r="P582" s="1507">
        <f>MIN('Part VI-Revenues &amp; Expenses'!$O$58/'Part VI-Revenues &amp; Expenses'!$O$60,'Part VI-Revenues &amp; Expenses'!$O$115/'Part VI-Revenues &amp; Expenses'!$O$117)</f>
        <v>1</v>
      </c>
      <c r="Q582" s="1507"/>
      <c r="R582" s="1391"/>
      <c r="S582" s="1391"/>
      <c r="T582" s="1391"/>
      <c r="U582" s="1391"/>
      <c r="V582" s="1441">
        <f>'Part IV-Uses of Funds'!V153</f>
        <v>0</v>
      </c>
      <c r="W582" s="1477"/>
      <c r="X582" s="1477"/>
    </row>
    <row r="583" spans="1:24">
      <c r="A583" s="1391"/>
      <c r="B583" s="1391" t="s">
        <v>2123</v>
      </c>
      <c r="C583" s="1391"/>
      <c r="D583" s="1391"/>
      <c r="E583" s="1391"/>
      <c r="F583" s="1391"/>
      <c r="G583" s="1391"/>
      <c r="H583" s="1391"/>
      <c r="I583" s="1391"/>
      <c r="J583" s="1429">
        <f>J581*J582</f>
        <v>0</v>
      </c>
      <c r="K583" s="1429"/>
      <c r="L583" s="1391"/>
      <c r="M583" s="1429">
        <f>M581*M582</f>
        <v>1300000</v>
      </c>
      <c r="N583" s="1429"/>
      <c r="O583" s="1391"/>
      <c r="P583" s="1429">
        <f>P581*P582</f>
        <v>26266712.419999998</v>
      </c>
      <c r="Q583" s="1429"/>
      <c r="R583" s="1391"/>
      <c r="S583" s="1391"/>
      <c r="T583" s="1391"/>
      <c r="U583" s="1391"/>
      <c r="V583" s="1441">
        <f>'Part IV-Uses of Funds'!V154</f>
        <v>0</v>
      </c>
      <c r="W583" s="1477"/>
      <c r="X583" s="1477"/>
    </row>
    <row r="584" spans="1:24">
      <c r="A584" s="1391"/>
      <c r="B584" s="1391" t="s">
        <v>2124</v>
      </c>
      <c r="C584" s="1391"/>
      <c r="D584" s="1391"/>
      <c r="E584" s="1391"/>
      <c r="F584" s="1391"/>
      <c r="G584" s="1391"/>
      <c r="H584" s="1391"/>
      <c r="I584" s="1391"/>
      <c r="J584" s="1506">
        <f>'Part IV-Uses of Funds'!J155</f>
        <v>0</v>
      </c>
      <c r="K584" s="1506"/>
      <c r="L584" s="1391"/>
      <c r="M584" s="1506">
        <f>'Part IV-Uses of Funds'!M155</f>
        <v>3.2300000000000002E-2</v>
      </c>
      <c r="N584" s="1506"/>
      <c r="O584" s="1391"/>
      <c r="P584" s="1506">
        <f>'Part IV-Uses of Funds'!P155</f>
        <v>3.2300000000000002E-2</v>
      </c>
      <c r="Q584" s="1506"/>
      <c r="R584" s="1391"/>
      <c r="S584" s="1391"/>
      <c r="T584" s="1391"/>
      <c r="U584" s="1391"/>
      <c r="V584" s="1441">
        <f>'Part IV-Uses of Funds'!V155</f>
        <v>0</v>
      </c>
      <c r="W584" s="1477"/>
      <c r="X584" s="1477"/>
    </row>
    <row r="585" spans="1:24">
      <c r="A585" s="1391"/>
      <c r="B585" s="1391" t="s">
        <v>2630</v>
      </c>
      <c r="C585" s="1391"/>
      <c r="D585" s="1391"/>
      <c r="E585" s="1391"/>
      <c r="F585" s="1391"/>
      <c r="G585" s="1391"/>
      <c r="H585" s="1391"/>
      <c r="I585" s="1391"/>
      <c r="J585" s="1429">
        <f>J583*J584</f>
        <v>0</v>
      </c>
      <c r="K585" s="1429"/>
      <c r="L585" s="1391"/>
      <c r="M585" s="1429">
        <f>M583*M584</f>
        <v>41990</v>
      </c>
      <c r="N585" s="1429"/>
      <c r="O585" s="1391"/>
      <c r="P585" s="1429">
        <f>P583*P584</f>
        <v>848414.81116599997</v>
      </c>
      <c r="Q585" s="1429"/>
      <c r="R585" s="1391"/>
      <c r="S585" s="1391"/>
      <c r="T585" s="1391"/>
      <c r="U585" s="1391"/>
      <c r="V585" s="1441">
        <f>'Part IV-Uses of Funds'!V156</f>
        <v>0</v>
      </c>
      <c r="W585" s="1477"/>
      <c r="X585" s="1477"/>
    </row>
    <row r="586" spans="1:24">
      <c r="A586" s="1391"/>
      <c r="B586" s="340" t="s">
        <v>1478</v>
      </c>
      <c r="C586" s="1391"/>
      <c r="D586" s="1391"/>
      <c r="E586" s="1391"/>
      <c r="F586" s="1391"/>
      <c r="G586" s="1391"/>
      <c r="H586" s="1391"/>
      <c r="I586" s="1391"/>
      <c r="J586" s="1467">
        <f>J585+M585+P585</f>
        <v>890404.81116599997</v>
      </c>
      <c r="K586" s="1467"/>
      <c r="L586" s="1467"/>
      <c r="M586" s="1467"/>
      <c r="N586" s="1467"/>
      <c r="O586" s="1467"/>
      <c r="P586" s="1467"/>
      <c r="Q586" s="1467"/>
      <c r="R586" s="1391"/>
      <c r="S586" s="1391"/>
      <c r="T586" s="1391"/>
      <c r="U586" s="1391"/>
      <c r="V586" s="1441">
        <f>'Part IV-Uses of Funds'!V157</f>
        <v>0</v>
      </c>
      <c r="W586" s="1477"/>
      <c r="X586" s="1477"/>
    </row>
    <row r="587" spans="1:24">
      <c r="A587" s="1391"/>
      <c r="B587" s="1508"/>
      <c r="C587" s="1391"/>
      <c r="D587" s="1391"/>
      <c r="E587" s="1391"/>
      <c r="F587" s="1391"/>
      <c r="G587" s="1391"/>
      <c r="H587" s="1391"/>
      <c r="I587" s="1391"/>
      <c r="J587" s="1391"/>
      <c r="K587" s="1391"/>
      <c r="L587" s="402"/>
      <c r="M587" s="402"/>
      <c r="N587" s="402"/>
      <c r="O587" s="402"/>
      <c r="P587" s="1391"/>
      <c r="Q587" s="1391"/>
      <c r="R587" s="1391"/>
      <c r="S587" s="1391"/>
      <c r="T587" s="1391"/>
      <c r="U587" s="1391"/>
      <c r="V587" s="1391"/>
      <c r="W587" s="1391"/>
      <c r="X587" s="1391"/>
    </row>
    <row r="588" spans="1:24" ht="16.5">
      <c r="A588" s="1481" t="s">
        <v>772</v>
      </c>
      <c r="B588" s="1481" t="s">
        <v>1481</v>
      </c>
      <c r="C588" s="1391"/>
      <c r="D588" s="1391"/>
      <c r="E588" s="1391"/>
      <c r="F588" s="1391"/>
      <c r="G588" s="1391"/>
      <c r="H588" s="393"/>
      <c r="I588" s="393"/>
      <c r="J588" s="1391"/>
      <c r="K588" s="1391"/>
      <c r="L588" s="1391"/>
      <c r="M588" s="1509"/>
      <c r="N588" s="1391"/>
      <c r="O588" s="1391"/>
      <c r="P588" s="1391"/>
      <c r="Q588" s="1391"/>
      <c r="R588" s="1391"/>
      <c r="S588" s="1391"/>
      <c r="T588" s="1391"/>
      <c r="U588" s="1391"/>
      <c r="V588" s="1391"/>
      <c r="W588" s="1391"/>
      <c r="X588" s="1391"/>
    </row>
    <row r="589" spans="1:24" ht="16.5">
      <c r="A589" s="1391"/>
      <c r="B589" s="340" t="s">
        <v>179</v>
      </c>
      <c r="C589" s="1391"/>
      <c r="D589" s="1391"/>
      <c r="E589" s="1391"/>
      <c r="F589" s="1391"/>
      <c r="G589" s="1391"/>
      <c r="H589" s="1415"/>
      <c r="I589" s="1391"/>
      <c r="J589" s="1391"/>
      <c r="K589" s="1391"/>
      <c r="L589" s="1391"/>
      <c r="M589" s="1509"/>
      <c r="N589" s="1391"/>
      <c r="O589" s="1391"/>
      <c r="P589" s="1391"/>
      <c r="Q589" s="1391"/>
      <c r="R589" s="1391"/>
      <c r="S589" s="1391"/>
      <c r="T589" s="1391"/>
      <c r="U589" s="1391"/>
      <c r="V589" s="1391"/>
      <c r="W589" s="1481" t="str">
        <f>B588</f>
        <v>TAX CREDIT CALCULATION - GAP METHOD</v>
      </c>
      <c r="X589" s="1391"/>
    </row>
    <row r="590" spans="1:24" ht="13.5" customHeight="1">
      <c r="A590" s="1391"/>
      <c r="B590" s="298" t="s">
        <v>4228</v>
      </c>
      <c r="C590" s="1391"/>
      <c r="D590" s="1391"/>
      <c r="E590" s="1391"/>
      <c r="F590" s="1391"/>
      <c r="G590" s="1510" t="str">
        <f ca="1">IF(J591&gt;J590,"TDC exceeds QAP PUCL!","")</f>
        <v/>
      </c>
      <c r="H590" s="1510"/>
      <c r="I590" s="1510"/>
      <c r="J590" s="1465">
        <f>'Part VIII-Threshold Criteria'!$P$65</f>
        <v>32271408</v>
      </c>
      <c r="K590" s="1465"/>
      <c r="L590" s="1465"/>
      <c r="M590" s="1511" t="s">
        <v>2862</v>
      </c>
      <c r="N590" s="1511"/>
      <c r="O590" s="1511"/>
      <c r="P590" s="1511"/>
      <c r="Q590" s="1511"/>
      <c r="R590" s="1511"/>
      <c r="S590" s="1511" t="s">
        <v>4117</v>
      </c>
      <c r="T590" s="1511"/>
      <c r="U590" s="1391"/>
      <c r="V590" s="1441">
        <f>'Part IV-Uses of Funds'!V161</f>
        <v>0</v>
      </c>
      <c r="W590" s="1477">
        <f>'Part IV-Uses of Funds'!W161</f>
        <v>0</v>
      </c>
      <c r="X590" s="1477"/>
    </row>
    <row r="591" spans="1:24">
      <c r="A591" s="1391"/>
      <c r="B591" s="1391" t="s">
        <v>4229</v>
      </c>
      <c r="C591" s="1391"/>
      <c r="D591" s="1391"/>
      <c r="E591" s="1391"/>
      <c r="F591" s="1391"/>
      <c r="G591" s="1391"/>
      <c r="H591" s="1391"/>
      <c r="I591" s="1391"/>
      <c r="J591" s="1429">
        <f ca="1">'Part IV-Uses of Funds'!J162</f>
        <v>25231313.324578471</v>
      </c>
      <c r="K591" s="1429"/>
      <c r="L591" s="1429"/>
      <c r="M591" s="1511"/>
      <c r="N591" s="1511"/>
      <c r="O591" s="1511"/>
      <c r="P591" s="1511"/>
      <c r="Q591" s="1511"/>
      <c r="R591" s="1511"/>
      <c r="S591" s="1511"/>
      <c r="T591" s="1511"/>
      <c r="U591" s="1391"/>
      <c r="V591" s="1441">
        <f>'Part IV-Uses of Funds'!V162</f>
        <v>0</v>
      </c>
      <c r="W591" s="1477"/>
      <c r="X591" s="1477"/>
    </row>
    <row r="592" spans="1:24">
      <c r="A592" s="1391"/>
      <c r="B592" s="1391" t="s">
        <v>275</v>
      </c>
      <c r="C592" s="1391"/>
      <c r="D592" s="1391"/>
      <c r="E592" s="1391"/>
      <c r="F592" s="1391"/>
      <c r="G592" s="1391"/>
      <c r="H592" s="1391"/>
      <c r="I592" s="1391"/>
      <c r="J592" s="1429">
        <f>'Part III-Sources of Funds'!$I$54-'Part III-Sources of Funds'!$I$41-'Part III-Sources of Funds'!$I$42-'Part III-Sources of Funds'!$I$45-'Part III-Sources of Funds'!$I$46</f>
        <v>11500000</v>
      </c>
      <c r="K592" s="1429"/>
      <c r="L592" s="1429"/>
      <c r="M592" s="1511"/>
      <c r="N592" s="1511"/>
      <c r="O592" s="1511"/>
      <c r="P592" s="1511"/>
      <c r="Q592" s="1511"/>
      <c r="R592" s="1511"/>
      <c r="S592" s="1511"/>
      <c r="T592" s="1511"/>
      <c r="U592" s="1391"/>
      <c r="V592" s="1441">
        <f>'Part IV-Uses of Funds'!V163</f>
        <v>0</v>
      </c>
      <c r="W592" s="1477"/>
      <c r="X592" s="1477"/>
    </row>
    <row r="593" spans="1:24" ht="13.5">
      <c r="A593" s="1391"/>
      <c r="B593" s="1391" t="s">
        <v>2311</v>
      </c>
      <c r="C593" s="1391"/>
      <c r="D593" s="1391"/>
      <c r="E593" s="1391"/>
      <c r="F593" s="1391"/>
      <c r="G593" s="1391"/>
      <c r="H593" s="1391"/>
      <c r="I593" s="1391"/>
      <c r="J593" s="1429">
        <f ca="1">+J591-J592</f>
        <v>13731313.324578471</v>
      </c>
      <c r="K593" s="1429"/>
      <c r="L593" s="1429"/>
      <c r="M593" s="1415" t="s">
        <v>2863</v>
      </c>
      <c r="N593" s="1415"/>
      <c r="O593" s="538">
        <f>'Part III-Sources of Funds'!$I$41</f>
        <v>0</v>
      </c>
      <c r="P593" s="538"/>
      <c r="Q593" s="538"/>
      <c r="R593" s="538"/>
      <c r="S593" s="1512" t="s">
        <v>1721</v>
      </c>
      <c r="T593" s="1513">
        <f>'Part IV-Uses of Funds'!T164</f>
        <v>0</v>
      </c>
      <c r="U593" s="1391"/>
      <c r="V593" s="1441">
        <f>'Part IV-Uses of Funds'!V164</f>
        <v>0</v>
      </c>
      <c r="W593" s="1477"/>
      <c r="X593" s="1477"/>
    </row>
    <row r="594" spans="1:24" ht="13.5">
      <c r="A594" s="1391"/>
      <c r="B594" s="1391" t="s">
        <v>1335</v>
      </c>
      <c r="C594" s="1391"/>
      <c r="D594" s="1391"/>
      <c r="E594" s="1391"/>
      <c r="F594" s="1391"/>
      <c r="G594" s="1391"/>
      <c r="H594" s="1391"/>
      <c r="I594" s="1391"/>
      <c r="J594" s="1391" t="str">
        <f>"/ 10"</f>
        <v>/ 10</v>
      </c>
      <c r="K594" s="1391"/>
      <c r="L594" s="1391"/>
      <c r="M594" s="1391"/>
      <c r="N594" s="538"/>
      <c r="O594" s="538"/>
      <c r="P594" s="538"/>
      <c r="Q594" s="538"/>
      <c r="R594" s="538"/>
      <c r="S594" s="1391"/>
      <c r="T594" s="1391"/>
      <c r="U594" s="1391"/>
      <c r="V594" s="1391"/>
      <c r="W594" s="1477"/>
      <c r="X594" s="1477"/>
    </row>
    <row r="595" spans="1:24">
      <c r="A595" s="1391"/>
      <c r="B595" s="1391" t="s">
        <v>1336</v>
      </c>
      <c r="C595" s="1391"/>
      <c r="D595" s="1391"/>
      <c r="E595" s="1391"/>
      <c r="F595" s="1391"/>
      <c r="G595" s="1391"/>
      <c r="H595" s="1391"/>
      <c r="I595" s="1391"/>
      <c r="J595" s="1429">
        <f ca="1">J593/10</f>
        <v>1373131.3324578472</v>
      </c>
      <c r="K595" s="1429"/>
      <c r="L595" s="1429"/>
      <c r="M595" s="338"/>
      <c r="N595" s="1391" t="s">
        <v>1337</v>
      </c>
      <c r="O595" s="1391"/>
      <c r="P595" s="1391"/>
      <c r="Q595" s="1391" t="s">
        <v>1865</v>
      </c>
      <c r="R595" s="1391"/>
      <c r="S595" s="1391"/>
      <c r="T595" s="1391"/>
      <c r="U595" s="1391"/>
      <c r="V595" s="1441">
        <f>'Part IV-Uses of Funds'!V166</f>
        <v>0</v>
      </c>
      <c r="W595" s="1477"/>
      <c r="X595" s="1477"/>
    </row>
    <row r="596" spans="1:24">
      <c r="A596" s="1391"/>
      <c r="B596" s="1391" t="s">
        <v>1541</v>
      </c>
      <c r="C596" s="1391"/>
      <c r="D596" s="1391"/>
      <c r="E596" s="1391"/>
      <c r="F596" s="1391"/>
      <c r="G596" s="1391"/>
      <c r="H596" s="1391"/>
      <c r="I596" s="1391"/>
      <c r="J596" s="1514">
        <f>N596+Q596</f>
        <v>1.55</v>
      </c>
      <c r="K596" s="1514"/>
      <c r="L596" s="1514"/>
      <c r="M596" s="1394" t="s">
        <v>1338</v>
      </c>
      <c r="N596" s="1515">
        <f>'Part IV-Uses of Funds'!N167</f>
        <v>1</v>
      </c>
      <c r="O596" s="1515"/>
      <c r="P596" s="1394" t="s">
        <v>636</v>
      </c>
      <c r="Q596" s="1515">
        <f>'Part IV-Uses of Funds'!Q167</f>
        <v>0.55000000000000004</v>
      </c>
      <c r="R596" s="1515"/>
      <c r="S596" s="1391"/>
      <c r="T596" s="1391"/>
      <c r="U596" s="1391"/>
      <c r="V596" s="1441">
        <f>'Part IV-Uses of Funds'!V167</f>
        <v>0</v>
      </c>
      <c r="W596" s="1477"/>
      <c r="X596" s="1477"/>
    </row>
    <row r="597" spans="1:24">
      <c r="A597" s="1391"/>
      <c r="B597" s="340" t="s">
        <v>1479</v>
      </c>
      <c r="C597" s="1391"/>
      <c r="D597" s="1391"/>
      <c r="E597" s="1391"/>
      <c r="F597" s="1391"/>
      <c r="G597" s="1391"/>
      <c r="H597" s="1391"/>
      <c r="I597" s="1391"/>
      <c r="J597" s="1467">
        <f ca="1">IF(J596=0,"",J595/J596)</f>
        <v>885891.18223086908</v>
      </c>
      <c r="K597" s="1467"/>
      <c r="L597" s="1467"/>
      <c r="M597" s="338"/>
      <c r="N597" s="1391"/>
      <c r="O597" s="1391"/>
      <c r="P597" s="1391"/>
      <c r="Q597" s="1391"/>
      <c r="R597" s="1391"/>
      <c r="S597" s="1391"/>
      <c r="T597" s="1391"/>
      <c r="U597" s="1391"/>
      <c r="V597" s="1441">
        <f>'Part IV-Uses of Funds'!V168</f>
        <v>0</v>
      </c>
      <c r="W597" s="1477"/>
      <c r="X597" s="1477"/>
    </row>
    <row r="598" spans="1:24">
      <c r="A598" s="1391"/>
      <c r="B598" s="1391"/>
      <c r="C598" s="1391"/>
      <c r="D598" s="1391"/>
      <c r="E598" s="1391"/>
      <c r="F598" s="1391"/>
      <c r="G598" s="1391"/>
      <c r="H598" s="1391"/>
      <c r="I598" s="1391"/>
      <c r="J598" s="403"/>
      <c r="K598" s="403"/>
      <c r="L598" s="403"/>
      <c r="M598" s="338"/>
      <c r="N598" s="1394"/>
      <c r="O598" s="1394"/>
      <c r="P598" s="1391"/>
      <c r="Q598" s="1391"/>
      <c r="R598" s="1391"/>
      <c r="S598" s="1391"/>
      <c r="T598" s="1391"/>
      <c r="U598" s="1391"/>
      <c r="V598" s="1391"/>
      <c r="W598" s="1477"/>
      <c r="X598" s="1477"/>
    </row>
    <row r="599" spans="1:24">
      <c r="A599" s="1391"/>
      <c r="B599" s="340" t="s">
        <v>3045</v>
      </c>
      <c r="C599" s="1391"/>
      <c r="D599" s="1391"/>
      <c r="E599" s="1391"/>
      <c r="F599" s="1391"/>
      <c r="G599" s="1391"/>
      <c r="H599" s="1391"/>
      <c r="I599" s="1391"/>
      <c r="J599" s="1467">
        <f ca="1">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885891.18223086908</v>
      </c>
      <c r="K599" s="1467"/>
      <c r="L599" s="1467"/>
      <c r="M599" s="338"/>
      <c r="N599" s="1394"/>
      <c r="O599" s="1394"/>
      <c r="P599" s="1391"/>
      <c r="Q599" s="1391"/>
      <c r="R599" s="1391"/>
      <c r="S599" s="1391"/>
      <c r="T599" s="1391"/>
      <c r="U599" s="1391"/>
      <c r="V599" s="1441">
        <f>'Part IV-Uses of Funds'!V170</f>
        <v>0</v>
      </c>
      <c r="W599" s="1477"/>
      <c r="X599" s="1477"/>
    </row>
    <row r="600" spans="1:24">
      <c r="A600" s="1391"/>
      <c r="B600" s="1391"/>
      <c r="C600" s="1391"/>
      <c r="D600" s="1391"/>
      <c r="E600" s="1391"/>
      <c r="F600" s="1391"/>
      <c r="G600" s="1391"/>
      <c r="H600" s="1391"/>
      <c r="I600" s="1391"/>
      <c r="J600" s="403"/>
      <c r="K600" s="403"/>
      <c r="L600" s="403"/>
      <c r="M600" s="338"/>
      <c r="N600" s="1394"/>
      <c r="O600" s="1394"/>
      <c r="P600" s="1391"/>
      <c r="Q600" s="1391"/>
      <c r="R600" s="1391"/>
      <c r="S600" s="1391"/>
      <c r="T600" s="1391"/>
      <c r="U600" s="1391"/>
      <c r="V600" s="1391"/>
      <c r="W600" s="1477"/>
      <c r="X600" s="1477"/>
    </row>
    <row r="601" spans="1:24">
      <c r="A601" s="1391"/>
      <c r="B601" s="340" t="s">
        <v>362</v>
      </c>
      <c r="C601" s="1391"/>
      <c r="D601" s="1391"/>
      <c r="E601" s="1391"/>
      <c r="F601" s="1391"/>
      <c r="G601" s="1391"/>
      <c r="H601" s="1391"/>
      <c r="I601" s="1391"/>
      <c r="J601" s="1467">
        <f ca="1">'Part IV-Uses of Funds'!$J$172</f>
        <v>885891.18223086908</v>
      </c>
      <c r="K601" s="1467"/>
      <c r="L601" s="1467"/>
      <c r="M601" s="296" t="str">
        <f ca="1">IF(J599=0,"",IF(J601&gt;J599,"ALLOCATION CANNOT EXCEED MAXIMUM - REVISE REQUEST!",""))</f>
        <v/>
      </c>
      <c r="N601" s="1394"/>
      <c r="O601" s="1394"/>
      <c r="P601" s="1391"/>
      <c r="Q601" s="1391"/>
      <c r="R601" s="1391"/>
      <c r="S601" s="1391"/>
      <c r="T601" s="1391"/>
      <c r="U601" s="1391"/>
      <c r="V601" s="1441">
        <f>'Part IV-Uses of Funds'!V172</f>
        <v>0</v>
      </c>
      <c r="W601" s="1477"/>
      <c r="X601" s="1477"/>
    </row>
    <row r="602" spans="1:24">
      <c r="A602" s="1391"/>
      <c r="B602" s="1391"/>
      <c r="C602" s="1391"/>
      <c r="D602" s="1391"/>
      <c r="E602" s="1391"/>
      <c r="F602" s="1391"/>
      <c r="G602" s="1391"/>
      <c r="H602" s="1391"/>
      <c r="I602" s="1391"/>
      <c r="J602" s="403"/>
      <c r="K602" s="403"/>
      <c r="L602" s="403"/>
      <c r="M602" s="338"/>
      <c r="N602" s="1394"/>
      <c r="O602" s="1394"/>
      <c r="P602" s="1391"/>
      <c r="Q602" s="1391"/>
      <c r="R602" s="1391"/>
      <c r="S602" s="1391"/>
      <c r="T602" s="1391"/>
      <c r="U602" s="1391"/>
      <c r="V602" s="1391"/>
      <c r="W602" s="1477"/>
      <c r="X602" s="1477"/>
    </row>
    <row r="603" spans="1:24" ht="16.5">
      <c r="A603" s="1481" t="s">
        <v>1858</v>
      </c>
      <c r="B603" s="1481" t="s">
        <v>2708</v>
      </c>
      <c r="C603" s="1391"/>
      <c r="D603" s="338"/>
      <c r="E603" s="338"/>
      <c r="F603" s="1386"/>
      <c r="G603" s="1391"/>
      <c r="H603" s="1391"/>
      <c r="I603" s="1391"/>
      <c r="J603" s="1467">
        <f ca="1">'Part IV-Uses of Funds'!$J$174</f>
        <v>885891.18223086908</v>
      </c>
      <c r="K603" s="1467"/>
      <c r="L603" s="1467"/>
      <c r="M603" s="1391"/>
      <c r="N603" s="353"/>
      <c r="O603" s="353"/>
      <c r="P603" s="353"/>
      <c r="Q603" s="353"/>
      <c r="R603" s="353"/>
      <c r="S603" s="353"/>
      <c r="T603" s="353"/>
      <c r="U603" s="1391"/>
      <c r="V603" s="1441">
        <f>'Part IV-Uses of Funds'!V174</f>
        <v>0</v>
      </c>
      <c r="W603" s="1477"/>
      <c r="X603" s="1477"/>
    </row>
    <row r="604" spans="1:24">
      <c r="A604" s="338"/>
      <c r="B604" s="338"/>
      <c r="C604" s="338"/>
      <c r="D604" s="338"/>
      <c r="E604" s="338"/>
      <c r="F604" s="338"/>
      <c r="G604" s="338"/>
      <c r="H604" s="338"/>
      <c r="I604" s="338"/>
      <c r="J604" s="338"/>
      <c r="K604" s="338"/>
      <c r="L604" s="338"/>
      <c r="M604" s="338"/>
      <c r="N604" s="338"/>
      <c r="O604" s="338"/>
      <c r="P604" s="338"/>
      <c r="Q604" s="338"/>
      <c r="R604" s="338"/>
      <c r="S604" s="338"/>
      <c r="T604" s="338"/>
      <c r="U604" s="338"/>
      <c r="V604" s="338"/>
      <c r="W604" s="338"/>
      <c r="X604" s="338"/>
    </row>
    <row r="605" spans="1:24">
      <c r="A605" s="338"/>
      <c r="B605" s="338"/>
      <c r="C605" s="338"/>
      <c r="D605" s="338"/>
      <c r="E605" s="338"/>
      <c r="F605" s="338"/>
      <c r="G605" s="338"/>
      <c r="H605" s="338"/>
      <c r="I605" s="338"/>
      <c r="J605" s="338"/>
      <c r="K605" s="338"/>
      <c r="L605" s="338"/>
      <c r="M605" s="338"/>
      <c r="N605" s="338"/>
      <c r="O605" s="338"/>
      <c r="P605" s="338"/>
      <c r="Q605" s="338"/>
      <c r="R605" s="338"/>
      <c r="S605" s="338"/>
      <c r="T605" s="338"/>
      <c r="U605" s="338"/>
      <c r="V605" s="338"/>
      <c r="W605" s="338"/>
      <c r="X605" s="338"/>
    </row>
    <row r="606" spans="1:24">
      <c r="A606" s="340" t="s">
        <v>1860</v>
      </c>
      <c r="B606" s="351" t="s">
        <v>593</v>
      </c>
      <c r="C606" s="338"/>
      <c r="D606" s="338"/>
      <c r="E606" s="338"/>
      <c r="F606" s="338"/>
      <c r="G606" s="338"/>
      <c r="H606" s="338"/>
      <c r="I606" s="338"/>
      <c r="J606" s="338"/>
      <c r="K606" s="340" t="s">
        <v>549</v>
      </c>
      <c r="L606" s="340" t="s">
        <v>81</v>
      </c>
      <c r="M606" s="338"/>
      <c r="N606" s="338"/>
      <c r="O606" s="338"/>
      <c r="P606" s="338"/>
      <c r="Q606" s="338"/>
      <c r="R606" s="338"/>
      <c r="S606" s="338"/>
      <c r="T606" s="338"/>
      <c r="U606" s="338"/>
      <c r="V606" s="338"/>
      <c r="W606" s="338"/>
      <c r="X606" s="338"/>
    </row>
    <row r="607" spans="1:24" ht="15.75" customHeight="1">
      <c r="A607" s="1452" t="str">
        <f>'Part IV-Uses of Funds'!A178</f>
        <v xml:space="preserve">* To all applicants: please provide methodology for determining applicable construction hard costs.
The detailed construction budget is included in the Rehab Work of Scope DCA form included in Tab 15. The form does not include the general contractor fees. </v>
      </c>
      <c r="B607" s="1452"/>
      <c r="C607" s="1452"/>
      <c r="D607" s="1452"/>
      <c r="E607" s="1452"/>
      <c r="F607" s="1452"/>
      <c r="G607" s="1452"/>
      <c r="H607" s="1452"/>
      <c r="I607" s="1452"/>
      <c r="J607" s="1452"/>
      <c r="K607" s="1452">
        <f>'Part IV-Uses of Funds'!K178</f>
        <v>0</v>
      </c>
      <c r="L607" s="1452"/>
      <c r="M607" s="1452"/>
      <c r="N607" s="1452"/>
      <c r="O607" s="1452"/>
      <c r="P607" s="1452"/>
      <c r="Q607" s="1452"/>
      <c r="R607" s="1452"/>
      <c r="S607" s="1452"/>
      <c r="T607" s="1452"/>
      <c r="U607" s="338"/>
      <c r="V607" s="338"/>
      <c r="W607" s="1516" t="s">
        <v>2796</v>
      </c>
      <c r="X607" s="1516"/>
    </row>
    <row r="610" spans="1:14" s="1518" customFormat="1" ht="15.75">
      <c r="A610" s="983" t="str">
        <f>CONCATENATE("PART FOUR (b) -  OTHER COSTS","  -  ",'Part I-Project Information'!$O$4," - ",'Part I-Project Information'!$F$24,"  -  ",'Part I-Project Information'!$F$28,"  -  ",'Part I-Project Information'!$J$29,",  ","County")</f>
        <v>PART FOUR (b) -  OTHER COSTS  -  2016-524 - Wheat Street Tower  -  Atlanta  -  Fulton,  County</v>
      </c>
      <c r="B610" s="983"/>
      <c r="C610" s="983"/>
      <c r="D610" s="983"/>
      <c r="E610" s="983"/>
      <c r="F610" s="983"/>
      <c r="G610" s="983"/>
      <c r="H610" s="983"/>
      <c r="I610" s="1517"/>
      <c r="J610" s="1517"/>
      <c r="K610" s="1517"/>
      <c r="L610" s="1517"/>
      <c r="M610" s="1517"/>
      <c r="N610" s="1517"/>
    </row>
    <row r="611" spans="1:14" s="1518" customFormat="1" ht="9" customHeight="1"/>
    <row r="612" spans="1:14" s="1518" customFormat="1" ht="57" customHeight="1">
      <c r="A612" s="1519" t="s">
        <v>4189</v>
      </c>
      <c r="B612" s="1519"/>
      <c r="C612" s="1519"/>
      <c r="D612" s="1519"/>
      <c r="E612" s="1519"/>
      <c r="F612" s="1519"/>
      <c r="G612" s="1519"/>
      <c r="H612" s="1519"/>
    </row>
    <row r="613" spans="1:14" s="1518" customFormat="1" ht="6" customHeight="1"/>
    <row r="614" spans="1:14" s="1518" customFormat="1" ht="27" customHeight="1">
      <c r="A614" s="1089" t="s">
        <v>4190</v>
      </c>
      <c r="B614" s="1089"/>
      <c r="C614" s="1089"/>
      <c r="D614" s="1089"/>
      <c r="F614" s="1520" t="s">
        <v>4191</v>
      </c>
      <c r="G614" s="1521"/>
      <c r="H614" s="1520" t="s">
        <v>4192</v>
      </c>
    </row>
    <row r="615" spans="1:14" s="1518" customFormat="1" ht="6.75" customHeight="1">
      <c r="A615" s="1521"/>
      <c r="B615" s="1521"/>
      <c r="C615" s="1521"/>
      <c r="D615" s="1521"/>
    </row>
    <row r="616" spans="1:14" s="1523" customFormat="1" ht="4.5" customHeight="1">
      <c r="A616" s="1522"/>
      <c r="B616" s="1522"/>
      <c r="C616" s="1522"/>
      <c r="D616" s="1522"/>
      <c r="E616" s="1522"/>
      <c r="F616" s="1522"/>
      <c r="G616" s="1522"/>
    </row>
    <row r="617" spans="1:14" s="1523" customFormat="1">
      <c r="A617" s="1517" t="s">
        <v>104</v>
      </c>
      <c r="B617" s="1524"/>
      <c r="C617" s="1524"/>
      <c r="D617" s="1524"/>
      <c r="E617" s="1524"/>
      <c r="F617" s="1524"/>
      <c r="G617" s="1524"/>
    </row>
    <row r="618" spans="1:14" s="1523" customFormat="1" ht="41.25" customHeight="1">
      <c r="A618" s="1525" t="str">
        <f>'Part IV-Uses of Funds'!$C$14</f>
        <v>Termite Inspection</v>
      </c>
      <c r="B618" s="1525"/>
      <c r="C618" s="1525"/>
      <c r="D618" s="1525"/>
      <c r="F618" s="1526" t="str">
        <f>'Part IVb-Other Items'!F9</f>
        <v>Terminte inspection report was required by Prudential</v>
      </c>
      <c r="G618" s="1524"/>
      <c r="H618" s="1526" t="str">
        <f>'Part IVb-Other Items'!H9</f>
        <v>It is a 3rd party report which is eligible as it is needed for construction.</v>
      </c>
    </row>
    <row r="619" spans="1:14" s="1523" customFormat="1" ht="41.25" customHeight="1">
      <c r="A619" s="1525"/>
      <c r="B619" s="1525"/>
      <c r="C619" s="1525"/>
      <c r="D619" s="1525"/>
      <c r="F619" s="1526"/>
      <c r="G619" s="1524"/>
      <c r="H619" s="1526"/>
    </row>
    <row r="620" spans="1:14" s="1523" customFormat="1" ht="4.5" customHeight="1">
      <c r="F620" s="1526"/>
      <c r="G620" s="1524"/>
      <c r="H620" s="1526"/>
    </row>
    <row r="621" spans="1:14" s="1523" customFormat="1" ht="15" customHeight="1">
      <c r="A621" s="1363" t="s">
        <v>4195</v>
      </c>
      <c r="B621" s="1527">
        <f>'Part IV-Uses of Funds'!$G$14</f>
        <v>3000</v>
      </c>
      <c r="C621" s="1363" t="s">
        <v>1856</v>
      </c>
      <c r="D621" s="1527">
        <f>'Part IV-Uses of Funds'!$J$14+'Part IV-Uses of Funds'!$M$14+'Part IV-Uses of Funds'!$P$14</f>
        <v>3000</v>
      </c>
      <c r="F621" s="1526"/>
      <c r="G621" s="1524"/>
      <c r="H621" s="1526"/>
    </row>
    <row r="622" spans="1:14" s="1523" customFormat="1" ht="6" customHeight="1">
      <c r="A622" s="1524"/>
      <c r="B622" s="1356"/>
      <c r="C622" s="1524"/>
      <c r="D622" s="1524"/>
      <c r="F622" s="1526"/>
      <c r="G622" s="1357"/>
      <c r="H622" s="1526"/>
    </row>
    <row r="623" spans="1:14" s="1523" customFormat="1" ht="41.25" customHeight="1">
      <c r="A623" s="1525" t="str">
        <f>'Part IV-Uses of Funds'!$C$15</f>
        <v>Physical Needs Assessment</v>
      </c>
      <c r="B623" s="1525"/>
      <c r="C623" s="1525"/>
      <c r="D623" s="1525"/>
      <c r="F623" s="1526" t="str">
        <f>'Part IVb-Other Items'!F14</f>
        <v>Physcial needs assessment report required by DCA for rehabs</v>
      </c>
      <c r="G623" s="1524"/>
      <c r="H623" s="1526" t="str">
        <f>'Part IVb-Other Items'!H14</f>
        <v>It is a 3rd party report which is eligible as it is needed for architectural design.</v>
      </c>
    </row>
    <row r="624" spans="1:14" s="1523" customFormat="1" ht="41.25" customHeight="1">
      <c r="A624" s="1525"/>
      <c r="B624" s="1525"/>
      <c r="C624" s="1525"/>
      <c r="D624" s="1525"/>
      <c r="F624" s="1526"/>
      <c r="G624" s="1524"/>
      <c r="H624" s="1526"/>
    </row>
    <row r="625" spans="1:8" s="1523" customFormat="1" ht="4.5" customHeight="1">
      <c r="F625" s="1526"/>
      <c r="G625" s="1524"/>
      <c r="H625" s="1526"/>
    </row>
    <row r="626" spans="1:8" s="1523" customFormat="1" ht="15" customHeight="1">
      <c r="A626" s="1363" t="s">
        <v>4195</v>
      </c>
      <c r="B626" s="1527">
        <f>'Part IV-Uses of Funds'!$G$15</f>
        <v>4850</v>
      </c>
      <c r="C626" s="1363" t="s">
        <v>1856</v>
      </c>
      <c r="D626" s="1527">
        <f>'Part IV-Uses of Funds'!$J$15+'Part IV-Uses of Funds'!$M$15+'Part IV-Uses of Funds'!$P$15</f>
        <v>4850</v>
      </c>
      <c r="F626" s="1526"/>
      <c r="G626" s="1524"/>
      <c r="H626" s="1526"/>
    </row>
    <row r="627" spans="1:8" s="1523" customFormat="1" ht="6" customHeight="1">
      <c r="A627" s="1524"/>
      <c r="B627" s="1356"/>
      <c r="C627" s="1524"/>
      <c r="D627" s="1524"/>
      <c r="F627" s="1526"/>
      <c r="G627" s="1357"/>
      <c r="H627" s="1526"/>
    </row>
    <row r="628" spans="1:8" s="1523" customFormat="1" ht="41.25" customHeight="1">
      <c r="A628" s="1525" t="str">
        <f>'Part IV-Uses of Funds'!$C$16</f>
        <v>&lt;&lt; Enter description here; provide detail &amp; justification in tab Part IV-b &gt;&gt;</v>
      </c>
      <c r="B628" s="1525"/>
      <c r="C628" s="1525"/>
      <c r="D628" s="1525"/>
      <c r="F628" s="1526">
        <f>'Part IVb-Other Items'!F19</f>
        <v>0</v>
      </c>
      <c r="G628" s="1524"/>
      <c r="H628" s="1526">
        <f>'Part IVb-Other Items'!H19</f>
        <v>0</v>
      </c>
    </row>
    <row r="629" spans="1:8" s="1523" customFormat="1" ht="41.25" customHeight="1">
      <c r="A629" s="1525"/>
      <c r="B629" s="1525"/>
      <c r="C629" s="1525"/>
      <c r="D629" s="1525"/>
      <c r="F629" s="1526"/>
      <c r="G629" s="1524"/>
      <c r="H629" s="1526"/>
    </row>
    <row r="630" spans="1:8" s="1523" customFormat="1" ht="4.5" customHeight="1">
      <c r="F630" s="1526"/>
      <c r="G630" s="1524"/>
      <c r="H630" s="1526"/>
    </row>
    <row r="631" spans="1:8" s="1523" customFormat="1" ht="15" customHeight="1">
      <c r="A631" s="1363" t="s">
        <v>4195</v>
      </c>
      <c r="B631" s="1527">
        <f>'Part IV-Uses of Funds'!$G$16</f>
        <v>0</v>
      </c>
      <c r="C631" s="1363" t="s">
        <v>1856</v>
      </c>
      <c r="D631" s="1527">
        <f>'Part IV-Uses of Funds'!$J$16+'Part IV-Uses of Funds'!$M$16+'Part IV-Uses of Funds'!$P$16</f>
        <v>0</v>
      </c>
      <c r="F631" s="1526"/>
      <c r="G631" s="1524"/>
      <c r="H631" s="1526"/>
    </row>
    <row r="632" spans="1:8" s="1523" customFormat="1" ht="6" customHeight="1">
      <c r="A632" s="1524"/>
      <c r="B632" s="1356"/>
      <c r="C632" s="1524"/>
      <c r="D632" s="1524"/>
      <c r="F632" s="1526"/>
      <c r="G632" s="1357"/>
      <c r="H632" s="1526"/>
    </row>
    <row r="633" spans="1:8" s="1523" customFormat="1">
      <c r="A633" s="1517" t="s">
        <v>4194</v>
      </c>
      <c r="B633" s="1524"/>
      <c r="C633" s="1524"/>
      <c r="D633" s="1524"/>
      <c r="E633" s="1524"/>
      <c r="F633" s="1524"/>
      <c r="G633" s="1524"/>
    </row>
    <row r="634" spans="1:8" s="1523" customFormat="1" ht="41.25" customHeight="1">
      <c r="A634" s="1525" t="str">
        <f>'Part IV-Uses of Funds'!$C$41</f>
        <v>Payment &amp; Performance Bond/Builder's Risk</v>
      </c>
      <c r="B634" s="1525"/>
      <c r="C634" s="1525"/>
      <c r="D634" s="1525"/>
      <c r="E634" s="1524"/>
      <c r="F634" s="1526" t="str">
        <f>'Part IVb-Other Items'!F25</f>
        <v>Payment and Performance bond as required by the financing team and deducted from General Requirements</v>
      </c>
      <c r="G634" s="1524"/>
      <c r="H634" s="1526" t="str">
        <f>'Part IVb-Other Items'!H25</f>
        <v>As part of general requirements, it is an eligible construction expense.</v>
      </c>
    </row>
    <row r="635" spans="1:8" s="1523" customFormat="1" ht="41.25" customHeight="1">
      <c r="A635" s="1525"/>
      <c r="B635" s="1525"/>
      <c r="C635" s="1525"/>
      <c r="D635" s="1525"/>
      <c r="E635" s="1524"/>
      <c r="F635" s="1526"/>
      <c r="G635" s="1524"/>
      <c r="H635" s="1526"/>
    </row>
    <row r="636" spans="1:8" s="1523" customFormat="1" ht="4.5" customHeight="1">
      <c r="A636" s="1524"/>
      <c r="B636" s="1524"/>
      <c r="C636" s="1524"/>
      <c r="D636" s="1524"/>
      <c r="E636" s="1524"/>
      <c r="F636" s="1526"/>
      <c r="G636" s="1524"/>
      <c r="H636" s="1526"/>
    </row>
    <row r="637" spans="1:8" s="1523" customFormat="1" ht="12.75" customHeight="1">
      <c r="A637" s="1363" t="s">
        <v>4195</v>
      </c>
      <c r="B637" s="1527">
        <f>'Part IV-Uses of Funds'!$G$41</f>
        <v>116000</v>
      </c>
      <c r="C637" s="1363" t="s">
        <v>1856</v>
      </c>
      <c r="D637" s="1527">
        <f>'Part IV-Uses of Funds'!$J$41+'Part IV-Uses of Funds'!$M$41+'Part IV-Uses of Funds'!$P$41</f>
        <v>116000</v>
      </c>
      <c r="E637" s="1524"/>
      <c r="F637" s="1526"/>
      <c r="G637" s="1524"/>
      <c r="H637" s="1526"/>
    </row>
    <row r="638" spans="1:8" s="1523" customFormat="1" ht="6" customHeight="1">
      <c r="A638" s="1524"/>
      <c r="B638" s="1356"/>
      <c r="C638" s="1524"/>
      <c r="D638" s="1524"/>
      <c r="E638" s="1524"/>
      <c r="F638" s="1526"/>
      <c r="G638" s="1357"/>
      <c r="H638" s="1526"/>
    </row>
    <row r="639" spans="1:8" s="1523" customFormat="1">
      <c r="A639" s="1517" t="s">
        <v>752</v>
      </c>
      <c r="B639" s="1524"/>
      <c r="C639" s="1524"/>
      <c r="D639" s="1524"/>
      <c r="E639" s="1524"/>
      <c r="F639" s="1524"/>
      <c r="G639" s="1524"/>
    </row>
    <row r="640" spans="1:8" s="1523" customFormat="1" ht="41.25" customHeight="1">
      <c r="A640" s="1525" t="str">
        <f>'Part IV-Uses of Funds'!$C$62</f>
        <v>Negative Arbitrage</v>
      </c>
      <c r="B640" s="1525"/>
      <c r="C640" s="1525"/>
      <c r="D640" s="1525"/>
      <c r="E640" s="1524"/>
      <c r="F640" s="1526" t="str">
        <f>'Part IVb-Other Items'!F31</f>
        <v>Required by the lender for 4% TE Bonds transactions</v>
      </c>
      <c r="G640" s="1524"/>
      <c r="H640" s="1526" t="str">
        <f>'Part IVb-Other Items'!H31</f>
        <v>It is NOT an eligible basis expense</v>
      </c>
    </row>
    <row r="641" spans="1:8" s="1523" customFormat="1" ht="41.25" customHeight="1">
      <c r="A641" s="1525"/>
      <c r="B641" s="1525"/>
      <c r="C641" s="1525"/>
      <c r="D641" s="1525"/>
      <c r="E641" s="1524"/>
      <c r="F641" s="1526"/>
      <c r="G641" s="1524"/>
      <c r="H641" s="1526"/>
    </row>
    <row r="642" spans="1:8" s="1523" customFormat="1" ht="4.5" customHeight="1">
      <c r="A642" s="1524"/>
      <c r="B642" s="1524"/>
      <c r="C642" s="1524"/>
      <c r="D642" s="1524"/>
      <c r="E642" s="1524"/>
      <c r="F642" s="1526"/>
      <c r="G642" s="1524"/>
      <c r="H642" s="1526"/>
    </row>
    <row r="643" spans="1:8" s="1523" customFormat="1" ht="14.25" customHeight="1">
      <c r="A643" s="1363" t="s">
        <v>4195</v>
      </c>
      <c r="B643" s="1527">
        <f>'Part IV-Uses of Funds'!$G$62</f>
        <v>402500</v>
      </c>
      <c r="C643" s="1363" t="s">
        <v>1856</v>
      </c>
      <c r="D643" s="1527">
        <f>'Part IV-Uses of Funds'!$J$62+'Part IV-Uses of Funds'!$M$62+'Part IV-Uses of Funds'!$P$62</f>
        <v>0</v>
      </c>
      <c r="E643" s="1524"/>
      <c r="F643" s="1526"/>
      <c r="G643" s="1524"/>
      <c r="H643" s="1526"/>
    </row>
    <row r="644" spans="1:8" s="1523" customFormat="1" ht="6" customHeight="1">
      <c r="D644" s="1524"/>
      <c r="E644" s="1524"/>
      <c r="F644" s="1526"/>
      <c r="G644" s="1357"/>
      <c r="H644" s="1526"/>
    </row>
    <row r="645" spans="1:8" s="1523" customFormat="1" ht="41.25" customHeight="1">
      <c r="A645" s="1525" t="str">
        <f>'Part IV-Uses of Funds'!$C$63</f>
        <v>&lt;&lt; Enter description here; provide detail &amp; justification in tab Part IV-b &gt;&gt;</v>
      </c>
      <c r="B645" s="1525"/>
      <c r="C645" s="1525"/>
      <c r="D645" s="1525"/>
      <c r="E645" s="1524"/>
      <c r="F645" s="1526">
        <f>'Part IVb-Other Items'!F36</f>
        <v>0</v>
      </c>
      <c r="G645" s="1524"/>
      <c r="H645" s="1526">
        <f>'Part IVb-Other Items'!H36</f>
        <v>0</v>
      </c>
    </row>
    <row r="646" spans="1:8" s="1523" customFormat="1" ht="41.25" customHeight="1">
      <c r="A646" s="1525"/>
      <c r="B646" s="1525"/>
      <c r="C646" s="1525"/>
      <c r="D646" s="1525"/>
      <c r="E646" s="1524"/>
      <c r="F646" s="1526"/>
      <c r="G646" s="1524"/>
      <c r="H646" s="1526"/>
    </row>
    <row r="647" spans="1:8" s="1523" customFormat="1" ht="4.5" customHeight="1">
      <c r="A647" s="1524"/>
      <c r="B647" s="1524"/>
      <c r="C647" s="1524"/>
      <c r="D647" s="1524"/>
      <c r="E647" s="1524"/>
      <c r="F647" s="1526"/>
      <c r="G647" s="1524"/>
      <c r="H647" s="1526"/>
    </row>
    <row r="648" spans="1:8" s="1523" customFormat="1" ht="14.25" customHeight="1">
      <c r="A648" s="1363" t="s">
        <v>4195</v>
      </c>
      <c r="B648" s="1527">
        <f>'Part IV-Uses of Funds'!$G$63</f>
        <v>0</v>
      </c>
      <c r="C648" s="1363" t="s">
        <v>1856</v>
      </c>
      <c r="D648" s="1527">
        <f>'Part IV-Uses of Funds'!$J$63+'Part IV-Uses of Funds'!$M$63+'Part IV-Uses of Funds'!$P$63</f>
        <v>0</v>
      </c>
      <c r="E648" s="1524"/>
      <c r="F648" s="1526"/>
      <c r="G648" s="1524"/>
      <c r="H648" s="1526"/>
    </row>
    <row r="649" spans="1:8" s="1523" customFormat="1" ht="6" customHeight="1">
      <c r="D649" s="1524"/>
      <c r="E649" s="1524"/>
      <c r="F649" s="1526"/>
      <c r="G649" s="1357"/>
      <c r="H649" s="1526"/>
    </row>
    <row r="650" spans="1:8" s="1523" customFormat="1">
      <c r="A650" s="1517" t="s">
        <v>493</v>
      </c>
      <c r="B650" s="1524"/>
      <c r="C650" s="1524"/>
      <c r="D650" s="1524"/>
      <c r="E650" s="1528"/>
      <c r="F650" s="1528"/>
      <c r="G650" s="1524"/>
    </row>
    <row r="651" spans="1:8" s="1523" customFormat="1" ht="41.25" customHeight="1">
      <c r="A651" s="1525" t="str">
        <f>'Part IV-Uses of Funds'!$C$76</f>
        <v>Asbestos Abatement</v>
      </c>
      <c r="B651" s="1525"/>
      <c r="C651" s="1525"/>
      <c r="D651" s="1525"/>
      <c r="F651" s="1526" t="str">
        <f>'Part IVb-Other Items'!F42</f>
        <v>the project contains minimal asbestos in the existing common area flooring</v>
      </c>
      <c r="G651" s="1524"/>
      <c r="H651" s="1526" t="str">
        <f>'Part IVb-Other Items'!H42</f>
        <v>Asbestos abatement is an eligible construction cost</v>
      </c>
    </row>
    <row r="652" spans="1:8" s="1523" customFormat="1" ht="41.25" customHeight="1">
      <c r="A652" s="1525"/>
      <c r="B652" s="1525"/>
      <c r="C652" s="1525"/>
      <c r="D652" s="1525"/>
      <c r="E652" s="1524"/>
      <c r="F652" s="1526"/>
      <c r="G652" s="1524"/>
      <c r="H652" s="1526"/>
    </row>
    <row r="653" spans="1:8" s="1523" customFormat="1" ht="4.5" customHeight="1">
      <c r="A653" s="1524"/>
      <c r="B653" s="1524"/>
      <c r="C653" s="1524"/>
      <c r="D653" s="1524"/>
      <c r="E653" s="1524"/>
      <c r="F653" s="1526"/>
      <c r="G653" s="1524"/>
      <c r="H653" s="1526"/>
    </row>
    <row r="654" spans="1:8" s="1523" customFormat="1" ht="13.5" customHeight="1">
      <c r="A654" s="1363" t="s">
        <v>4195</v>
      </c>
      <c r="B654" s="1527">
        <f>'Part IV-Uses of Funds'!$G$76</f>
        <v>72500</v>
      </c>
      <c r="C654" s="1363" t="s">
        <v>1856</v>
      </c>
      <c r="D654" s="1527">
        <f>'Part IV-Uses of Funds'!$J$76+'Part IV-Uses of Funds'!$M$76+'Part IV-Uses of Funds'!$P$76</f>
        <v>72500</v>
      </c>
      <c r="E654" s="1524"/>
      <c r="F654" s="1526"/>
      <c r="G654" s="1524"/>
      <c r="H654" s="1526"/>
    </row>
    <row r="655" spans="1:8" s="1523" customFormat="1" ht="6" customHeight="1">
      <c r="A655" s="1524"/>
      <c r="B655" s="1356"/>
      <c r="C655" s="1524"/>
      <c r="D655" s="1524"/>
      <c r="E655" s="1524"/>
      <c r="F655" s="1526"/>
      <c r="G655" s="1357"/>
      <c r="H655" s="1526"/>
    </row>
    <row r="656" spans="1:8" s="1523" customFormat="1">
      <c r="A656" s="1517" t="s">
        <v>754</v>
      </c>
      <c r="B656" s="1524"/>
      <c r="C656" s="1524"/>
      <c r="D656" s="1524"/>
      <c r="E656" s="1524"/>
      <c r="F656" s="1524"/>
      <c r="G656" s="1524"/>
    </row>
    <row r="657" spans="1:7" s="1523" customFormat="1" ht="41.25" customHeight="1">
      <c r="A657" s="1525" t="str">
        <f>'Part IV-Uses of Funds'!$C$90</f>
        <v>&lt;&lt; Enter description here; provide detail &amp; justification in tab Part IV-b &gt;&gt;</v>
      </c>
      <c r="B657" s="1525"/>
      <c r="C657" s="1525"/>
      <c r="D657" s="1525"/>
      <c r="F657" s="1526">
        <f>'Part IVb-Other Items'!F48</f>
        <v>0</v>
      </c>
      <c r="G657" s="1524"/>
    </row>
    <row r="658" spans="1:7" s="1523" customFormat="1" ht="41.25" customHeight="1">
      <c r="A658" s="1525"/>
      <c r="B658" s="1525"/>
      <c r="C658" s="1525"/>
      <c r="D658" s="1525"/>
      <c r="E658" s="1524"/>
      <c r="F658" s="1526"/>
      <c r="G658" s="1524"/>
    </row>
    <row r="659" spans="1:7" s="1523" customFormat="1" ht="4.5" customHeight="1">
      <c r="A659" s="1524"/>
      <c r="B659" s="1524"/>
      <c r="C659" s="1524"/>
      <c r="D659" s="1524"/>
      <c r="E659" s="1524"/>
      <c r="F659" s="1526"/>
      <c r="G659" s="1524"/>
    </row>
    <row r="660" spans="1:7" s="1523" customFormat="1" ht="13.5" customHeight="1">
      <c r="A660" s="1363" t="s">
        <v>4195</v>
      </c>
      <c r="B660" s="1527">
        <f>'Part IV-Uses of Funds'!$G$90</f>
        <v>0</v>
      </c>
      <c r="C660" s="1358"/>
      <c r="D660" s="1358"/>
      <c r="E660" s="1524"/>
      <c r="F660" s="1526"/>
      <c r="G660" s="1524"/>
    </row>
    <row r="661" spans="1:7" s="1523" customFormat="1" ht="6" customHeight="1">
      <c r="A661" s="1524"/>
      <c r="B661" s="1524"/>
      <c r="C661" s="1524"/>
      <c r="D661" s="1524"/>
      <c r="E661" s="1524"/>
      <c r="F661" s="1526"/>
      <c r="G661" s="1357"/>
    </row>
    <row r="662" spans="1:7" s="1523" customFormat="1">
      <c r="A662" s="1517" t="s">
        <v>4196</v>
      </c>
      <c r="B662" s="1524"/>
      <c r="C662" s="1524"/>
      <c r="D662" s="1524"/>
      <c r="E662" s="1524"/>
      <c r="F662" s="1524"/>
      <c r="G662" s="1524"/>
    </row>
    <row r="663" spans="1:7" s="1523" customFormat="1" ht="41.25" customHeight="1">
      <c r="A663" s="1525" t="str">
        <f>'Part IV-Uses of Funds'!$C$103</f>
        <v>&lt;&lt; Enter description here; provide detail &amp; justification in tab Part IV-b &gt;&gt;</v>
      </c>
      <c r="B663" s="1525"/>
      <c r="C663" s="1525"/>
      <c r="D663" s="1525"/>
      <c r="F663" s="1526">
        <f>'Part IVb-Other Items'!F54</f>
        <v>0</v>
      </c>
      <c r="G663" s="1524"/>
    </row>
    <row r="664" spans="1:7" s="1523" customFormat="1" ht="41.25" customHeight="1">
      <c r="A664" s="1525"/>
      <c r="B664" s="1525"/>
      <c r="C664" s="1525"/>
      <c r="D664" s="1525"/>
      <c r="E664" s="1524"/>
      <c r="F664" s="1526"/>
      <c r="G664" s="1524"/>
    </row>
    <row r="665" spans="1:7" s="1523" customFormat="1" ht="4.5" customHeight="1">
      <c r="A665" s="1524"/>
      <c r="B665" s="1524"/>
      <c r="C665" s="1524"/>
      <c r="D665" s="1524"/>
      <c r="E665" s="1524"/>
      <c r="F665" s="1526"/>
      <c r="G665" s="1524"/>
    </row>
    <row r="666" spans="1:7" s="1523" customFormat="1" ht="12.75" customHeight="1">
      <c r="A666" s="1363" t="s">
        <v>4195</v>
      </c>
      <c r="B666" s="1527">
        <f>'Part IV-Uses of Funds'!$G$103</f>
        <v>0</v>
      </c>
      <c r="C666" s="1358"/>
      <c r="D666" s="1358"/>
      <c r="E666" s="1524"/>
      <c r="F666" s="1526"/>
      <c r="G666" s="1524"/>
    </row>
    <row r="667" spans="1:7" s="1523" customFormat="1" ht="6" customHeight="1">
      <c r="A667" s="1522"/>
      <c r="B667" s="1522"/>
      <c r="C667" s="1522"/>
      <c r="D667" s="1522"/>
      <c r="E667" s="1522"/>
      <c r="F667" s="1526"/>
      <c r="G667" s="1357"/>
    </row>
    <row r="668" spans="1:7" s="1523" customFormat="1" ht="41.25" customHeight="1">
      <c r="A668" s="1525" t="str">
        <f>'Part IV-Uses of Funds'!$C$104</f>
        <v>&lt;&lt; Enter description here; provide detail &amp; justification in tab Part IV-b &gt;&gt;</v>
      </c>
      <c r="B668" s="1525"/>
      <c r="C668" s="1525"/>
      <c r="D668" s="1525"/>
      <c r="F668" s="1526">
        <f>'Part IVb-Other Items'!F59</f>
        <v>0</v>
      </c>
      <c r="G668" s="1524"/>
    </row>
    <row r="669" spans="1:7" s="1523" customFormat="1" ht="41.25" customHeight="1">
      <c r="A669" s="1525"/>
      <c r="B669" s="1525"/>
      <c r="C669" s="1525"/>
      <c r="D669" s="1525"/>
      <c r="E669" s="1524"/>
      <c r="F669" s="1526"/>
      <c r="G669" s="1524"/>
    </row>
    <row r="670" spans="1:7" s="1523" customFormat="1" ht="4.5" customHeight="1">
      <c r="A670" s="1524"/>
      <c r="B670" s="1524"/>
      <c r="C670" s="1524"/>
      <c r="D670" s="1524"/>
      <c r="E670" s="1524"/>
      <c r="F670" s="1526"/>
      <c r="G670" s="1524"/>
    </row>
    <row r="671" spans="1:7" s="1523" customFormat="1" ht="25.5">
      <c r="A671" s="1358" t="s">
        <v>103</v>
      </c>
      <c r="B671" s="1527">
        <f>'Part IV-Uses of Funds'!$G$104</f>
        <v>0</v>
      </c>
      <c r="C671" s="1358"/>
      <c r="D671" s="1358"/>
      <c r="E671" s="1524"/>
      <c r="F671" s="1526"/>
      <c r="G671" s="1524"/>
    </row>
    <row r="672" spans="1:7" s="1523" customFormat="1" ht="6" customHeight="1">
      <c r="A672" s="1522"/>
      <c r="B672" s="1522"/>
      <c r="C672" s="1522"/>
      <c r="D672" s="1522"/>
      <c r="E672" s="1522"/>
      <c r="F672" s="1526"/>
      <c r="G672" s="1357"/>
    </row>
    <row r="673" spans="1:8" s="1523" customFormat="1">
      <c r="A673" s="1517" t="s">
        <v>4197</v>
      </c>
      <c r="B673" s="1524"/>
      <c r="C673" s="1524"/>
      <c r="D673" s="1524"/>
      <c r="E673" s="1524"/>
      <c r="F673" s="1524"/>
      <c r="G673" s="1524"/>
    </row>
    <row r="674" spans="1:8" s="1523" customFormat="1" ht="41.25" customHeight="1">
      <c r="A674" s="1525" t="str">
        <f>'Part IV-Uses of Funds'!$C$110</f>
        <v>Acquisition Credit Opinion</v>
      </c>
      <c r="B674" s="1525"/>
      <c r="C674" s="1525"/>
      <c r="D674" s="1525"/>
      <c r="F674" s="1526" t="str">
        <f>'Part IVb-Other Items'!F65</f>
        <v>To receive acquisition credits, an acquistion credit opinion is required.</v>
      </c>
      <c r="G674" s="1524"/>
    </row>
    <row r="675" spans="1:8" s="1523" customFormat="1" ht="41.25" customHeight="1">
      <c r="A675" s="1525"/>
      <c r="B675" s="1525"/>
      <c r="C675" s="1525"/>
      <c r="D675" s="1525"/>
      <c r="E675" s="1524"/>
      <c r="F675" s="1526"/>
      <c r="G675" s="1524"/>
    </row>
    <row r="676" spans="1:8" s="1523" customFormat="1" ht="4.5" customHeight="1">
      <c r="A676" s="1524"/>
      <c r="B676" s="1524"/>
      <c r="C676" s="1524"/>
      <c r="D676" s="1524"/>
      <c r="E676" s="1524"/>
      <c r="F676" s="1526"/>
      <c r="G676" s="1524"/>
    </row>
    <row r="677" spans="1:8" s="1523" customFormat="1" ht="25.5">
      <c r="A677" s="1358" t="s">
        <v>103</v>
      </c>
      <c r="B677" s="1527">
        <f>'Part IV-Uses of Funds'!$G$110</f>
        <v>5000</v>
      </c>
      <c r="C677" s="1358"/>
      <c r="D677" s="1358"/>
      <c r="E677" s="1524"/>
      <c r="F677" s="1526"/>
      <c r="G677" s="1524"/>
    </row>
    <row r="678" spans="1:8" s="1523" customFormat="1" ht="6" customHeight="1">
      <c r="A678" s="1524"/>
      <c r="B678" s="1356"/>
      <c r="C678" s="1524"/>
      <c r="D678" s="1524"/>
      <c r="E678" s="1524"/>
      <c r="F678" s="1526"/>
      <c r="G678" s="1357"/>
    </row>
    <row r="679" spans="1:8" s="1523" customFormat="1">
      <c r="A679" s="1517" t="s">
        <v>1358</v>
      </c>
      <c r="B679" s="1524"/>
      <c r="C679" s="1524"/>
      <c r="D679" s="1524"/>
      <c r="E679" s="1524"/>
      <c r="F679" s="1524"/>
      <c r="G679" s="1524"/>
    </row>
    <row r="680" spans="1:8" s="1523" customFormat="1" ht="41.25" customHeight="1">
      <c r="A680" s="1525" t="str">
        <f>'Part IV-Uses of Funds'!$C$124</f>
        <v>Working Capital</v>
      </c>
      <c r="B680" s="1525"/>
      <c r="C680" s="1525"/>
      <c r="D680" s="1525"/>
      <c r="F680" s="1526" t="str">
        <f>'Part IVb-Other Items'!F71</f>
        <v>Working Capital and additional HUD def reserves as required by Prudential</v>
      </c>
      <c r="G680" s="1524"/>
      <c r="H680" s="1526">
        <f>'Part IVb-Other Items'!H71</f>
        <v>0</v>
      </c>
    </row>
    <row r="681" spans="1:8" s="1523" customFormat="1" ht="41.25" customHeight="1">
      <c r="A681" s="1525"/>
      <c r="B681" s="1525"/>
      <c r="C681" s="1525"/>
      <c r="D681" s="1525"/>
      <c r="E681" s="1524"/>
      <c r="F681" s="1526"/>
      <c r="G681" s="1524"/>
      <c r="H681" s="1526"/>
    </row>
    <row r="682" spans="1:8" s="1523" customFormat="1" ht="4.5" customHeight="1">
      <c r="A682" s="1524"/>
      <c r="B682" s="1524"/>
      <c r="C682" s="1524"/>
      <c r="D682" s="1524"/>
      <c r="E682" s="1524"/>
      <c r="F682" s="1526"/>
      <c r="G682" s="1524"/>
      <c r="H682" s="1526"/>
    </row>
    <row r="683" spans="1:8" s="1523" customFormat="1" ht="25.5">
      <c r="A683" s="1358" t="s">
        <v>103</v>
      </c>
      <c r="B683" s="1527">
        <f>'Part IV-Uses of Funds'!$G$124</f>
        <v>460000</v>
      </c>
      <c r="C683" s="1358" t="s">
        <v>4193</v>
      </c>
      <c r="D683" s="1527">
        <f>'Part IV-Uses of Funds'!$J$124+'Part IV-Uses of Funds'!$M$124+'Part IV-Uses of Funds'!$P$124</f>
        <v>0</v>
      </c>
      <c r="E683" s="1524"/>
      <c r="F683" s="1526"/>
      <c r="G683" s="1524"/>
      <c r="H683" s="1526"/>
    </row>
    <row r="684" spans="1:8" s="1523" customFormat="1" ht="6" customHeight="1">
      <c r="A684" s="1524"/>
      <c r="B684" s="1356"/>
      <c r="C684" s="1524"/>
      <c r="D684" s="1524"/>
      <c r="E684" s="1524"/>
      <c r="F684" s="1526"/>
      <c r="G684" s="1357"/>
      <c r="H684" s="1526"/>
    </row>
    <row r="685" spans="1:8" s="1523" customFormat="1">
      <c r="A685" s="1517" t="s">
        <v>4198</v>
      </c>
      <c r="B685" s="1356"/>
      <c r="C685" s="1524"/>
      <c r="D685" s="1524"/>
      <c r="E685" s="1524"/>
      <c r="F685" s="1524"/>
      <c r="G685" s="1357"/>
    </row>
    <row r="686" spans="1:8" s="1523" customFormat="1" ht="41.25" customHeight="1">
      <c r="A686" s="1525" t="str">
        <f>'Part IV-Uses of Funds'!$C$128</f>
        <v>&lt;&lt; Enter description here; provide detail &amp; justification in tab Part IV-b &gt;&gt;</v>
      </c>
      <c r="B686" s="1525"/>
      <c r="C686" s="1525"/>
      <c r="D686" s="1525"/>
      <c r="F686" s="1526">
        <f>'Part IVb-Other Items'!F77</f>
        <v>0</v>
      </c>
      <c r="G686" s="1524"/>
      <c r="H686" s="1526">
        <f>'Part IVb-Other Items'!H77</f>
        <v>0</v>
      </c>
    </row>
    <row r="687" spans="1:8" s="1523" customFormat="1" ht="41.25" customHeight="1">
      <c r="A687" s="1525"/>
      <c r="B687" s="1525"/>
      <c r="C687" s="1525"/>
      <c r="D687" s="1525"/>
      <c r="E687" s="1524"/>
      <c r="F687" s="1526"/>
      <c r="G687" s="1524"/>
      <c r="H687" s="1526"/>
    </row>
    <row r="688" spans="1:8" s="1523" customFormat="1" ht="4.5" customHeight="1">
      <c r="A688" s="1524"/>
      <c r="B688" s="1524"/>
      <c r="C688" s="1524"/>
      <c r="D688" s="1524"/>
      <c r="E688" s="1524"/>
      <c r="F688" s="1526"/>
      <c r="G688" s="1524"/>
      <c r="H688" s="1526"/>
    </row>
    <row r="689" spans="1:13" s="1523" customFormat="1" ht="25.5">
      <c r="A689" s="1358" t="s">
        <v>103</v>
      </c>
      <c r="B689" s="1527">
        <f>'Part IV-Uses of Funds'!$G$128</f>
        <v>0</v>
      </c>
      <c r="C689" s="1358" t="s">
        <v>4193</v>
      </c>
      <c r="D689" s="1527">
        <f>'Part IV-Uses of Funds'!$J$128+'Part IV-Uses of Funds'!$M$128+'Part IV-Uses of Funds'!$P$128</f>
        <v>0</v>
      </c>
      <c r="E689" s="1524"/>
      <c r="F689" s="1526"/>
      <c r="G689" s="1524"/>
      <c r="H689" s="1526"/>
    </row>
    <row r="690" spans="1:13" s="1523" customFormat="1" ht="6" customHeight="1">
      <c r="D690" s="1361"/>
      <c r="E690" s="1529"/>
      <c r="F690" s="1526"/>
      <c r="G690" s="1357"/>
      <c r="H690" s="1526"/>
    </row>
    <row r="691" spans="1:13" s="1523" customFormat="1"/>
    <row r="695" spans="1:13">
      <c r="A695" s="10" t="str">
        <f>CONCATENATE("DRAFT PART FIVE - UTILITY ALLOWANCES","  -  ",'Part I-Project Information'!$O$4," ",'Part I-Project Information'!$F$24,", ",'Part I-Project Information'!F640,", ",'Part I-Project Information'!J641," County")</f>
        <v>DRAFT PART FIVE - UTILITY ALLOWANCES  -  2016-524 Wheat Street Tower, ,  County</v>
      </c>
      <c r="B695" s="10"/>
      <c r="C695" s="10"/>
      <c r="D695" s="10"/>
      <c r="E695" s="10"/>
      <c r="F695" s="10"/>
      <c r="G695" s="10"/>
      <c r="H695" s="10"/>
      <c r="I695" s="10"/>
      <c r="J695" s="10"/>
      <c r="K695" s="10"/>
      <c r="L695" s="10"/>
      <c r="M695" s="10"/>
    </row>
    <row r="697" spans="1:13">
      <c r="F697" s="10" t="s">
        <v>534</v>
      </c>
      <c r="I697" s="2" t="str">
        <f>VLOOKUP('Part I-Project Information'!$J$29,'DCA Underwriting Assumptions'!$G$141:$H$300,2)</f>
        <v>Middle</v>
      </c>
    </row>
    <row r="699" spans="1:13">
      <c r="A699" s="29" t="s">
        <v>640</v>
      </c>
      <c r="B699" s="29" t="s">
        <v>2306</v>
      </c>
      <c r="F699" s="531" t="s">
        <v>2606</v>
      </c>
      <c r="I699" s="1530" t="str">
        <f>'Part V-Utility Allowances'!I5</f>
        <v>Atlanta Housing Authority</v>
      </c>
      <c r="J699" s="1530"/>
      <c r="K699" s="1530"/>
      <c r="L699" s="1530"/>
      <c r="M699" s="1530"/>
    </row>
    <row r="700" spans="1:13">
      <c r="A700" s="29"/>
      <c r="F700" s="531" t="s">
        <v>660</v>
      </c>
      <c r="I700" s="1531">
        <f>'Part V-Utility Allowances'!I6</f>
        <v>42186</v>
      </c>
      <c r="J700" s="1531"/>
      <c r="K700" s="615" t="s">
        <v>559</v>
      </c>
      <c r="L700" s="1530" t="str">
        <f>'Part V-Utility Allowances'!L6</f>
        <v>MF</v>
      </c>
      <c r="M700" s="1530"/>
    </row>
    <row r="701" spans="1:13">
      <c r="A701" s="29"/>
    </row>
    <row r="702" spans="1:13">
      <c r="A702" s="29"/>
      <c r="B702" s="29"/>
      <c r="C702" s="29"/>
      <c r="D702" s="29"/>
      <c r="E702" s="29"/>
      <c r="F702" s="1532" t="s">
        <v>633</v>
      </c>
      <c r="G702" s="1532"/>
      <c r="H702" s="29"/>
      <c r="I702" s="1532" t="s">
        <v>206</v>
      </c>
      <c r="J702" s="1532"/>
      <c r="K702" s="1532"/>
      <c r="L702" s="1532"/>
      <c r="M702" s="1532"/>
    </row>
    <row r="703" spans="1:13">
      <c r="A703" s="29"/>
      <c r="B703" s="29" t="s">
        <v>830</v>
      </c>
      <c r="C703" s="29"/>
      <c r="D703" s="29" t="s">
        <v>1657</v>
      </c>
      <c r="E703" s="29"/>
      <c r="F703" s="31" t="s">
        <v>666</v>
      </c>
      <c r="G703" s="31" t="s">
        <v>1920</v>
      </c>
      <c r="H703" s="29"/>
      <c r="I703" s="31" t="s">
        <v>587</v>
      </c>
      <c r="J703" s="31">
        <v>1</v>
      </c>
      <c r="K703" s="31">
        <v>2</v>
      </c>
      <c r="L703" s="31">
        <v>3</v>
      </c>
      <c r="M703" s="31">
        <v>4</v>
      </c>
    </row>
    <row r="704" spans="1:13">
      <c r="B704" s="531" t="s">
        <v>1922</v>
      </c>
      <c r="D704" s="1530" t="str">
        <f>'Part V-Utility Allowances'!D10</f>
        <v>&lt;&lt;Select Fuel &gt;&gt;</v>
      </c>
      <c r="E704" s="1530"/>
      <c r="F704" s="1533">
        <f>'Part V-Utility Allowances'!F10</f>
        <v>0</v>
      </c>
      <c r="G704" s="1533" t="str">
        <f>'Part V-Utility Allowances'!G10</f>
        <v>X</v>
      </c>
      <c r="I704" s="615">
        <f>'Part V-Utility Allowances'!I10</f>
        <v>0</v>
      </c>
      <c r="J704" s="615">
        <f>'Part V-Utility Allowances'!J10</f>
        <v>0</v>
      </c>
      <c r="K704" s="615">
        <f>'Part V-Utility Allowances'!K10</f>
        <v>0</v>
      </c>
      <c r="L704" s="615">
        <f>'Part V-Utility Allowances'!L10</f>
        <v>0</v>
      </c>
      <c r="M704" s="615">
        <f>'Part V-Utility Allowances'!M10</f>
        <v>0</v>
      </c>
    </row>
    <row r="705" spans="1:13">
      <c r="B705" s="531" t="s">
        <v>484</v>
      </c>
      <c r="D705" s="531" t="s">
        <v>1653</v>
      </c>
      <c r="F705" s="1533">
        <f>'Part V-Utility Allowances'!F11</f>
        <v>0</v>
      </c>
      <c r="G705" s="1533" t="str">
        <f>'Part V-Utility Allowances'!G11</f>
        <v>X</v>
      </c>
      <c r="I705" s="615">
        <f>'Part V-Utility Allowances'!I11</f>
        <v>0</v>
      </c>
      <c r="J705" s="615">
        <f>'Part V-Utility Allowances'!J11</f>
        <v>0</v>
      </c>
      <c r="K705" s="615">
        <f>'Part V-Utility Allowances'!K11</f>
        <v>0</v>
      </c>
      <c r="L705" s="615">
        <f>'Part V-Utility Allowances'!L11</f>
        <v>0</v>
      </c>
      <c r="M705" s="615">
        <f>'Part V-Utility Allowances'!M11</f>
        <v>0</v>
      </c>
    </row>
    <row r="706" spans="1:13">
      <c r="B706" s="531" t="s">
        <v>1654</v>
      </c>
      <c r="D706" s="1530" t="str">
        <f>'Part V-Utility Allowances'!D12</f>
        <v>&lt;&lt;Select Fuel &gt;&gt;</v>
      </c>
      <c r="E706" s="1530"/>
      <c r="F706" s="1533">
        <f>'Part V-Utility Allowances'!F12</f>
        <v>0</v>
      </c>
      <c r="G706" s="1533" t="str">
        <f>'Part V-Utility Allowances'!G12</f>
        <v>X</v>
      </c>
      <c r="I706" s="615">
        <f>'Part V-Utility Allowances'!I12</f>
        <v>0</v>
      </c>
      <c r="J706" s="615">
        <f>'Part V-Utility Allowances'!J12</f>
        <v>0</v>
      </c>
      <c r="K706" s="615">
        <f>'Part V-Utility Allowances'!K12</f>
        <v>0</v>
      </c>
      <c r="L706" s="615">
        <f>'Part V-Utility Allowances'!L12</f>
        <v>0</v>
      </c>
      <c r="M706" s="615">
        <f>'Part V-Utility Allowances'!M12</f>
        <v>0</v>
      </c>
    </row>
    <row r="707" spans="1:13">
      <c r="B707" s="531" t="s">
        <v>1655</v>
      </c>
      <c r="D707" s="1530" t="str">
        <f>'Part V-Utility Allowances'!D13</f>
        <v>&lt;&lt;Select Fuel &gt;&gt;</v>
      </c>
      <c r="E707" s="1530"/>
      <c r="F707" s="1533">
        <f>'Part V-Utility Allowances'!F13</f>
        <v>0</v>
      </c>
      <c r="G707" s="1533" t="str">
        <f>'Part V-Utility Allowances'!G13</f>
        <v>X</v>
      </c>
      <c r="I707" s="615">
        <f>'Part V-Utility Allowances'!I13</f>
        <v>0</v>
      </c>
      <c r="J707" s="615">
        <f>'Part V-Utility Allowances'!J13</f>
        <v>0</v>
      </c>
      <c r="K707" s="615">
        <f>'Part V-Utility Allowances'!K13</f>
        <v>0</v>
      </c>
      <c r="L707" s="615">
        <f>'Part V-Utility Allowances'!L13</f>
        <v>0</v>
      </c>
      <c r="M707" s="615">
        <f>'Part V-Utility Allowances'!M13</f>
        <v>0</v>
      </c>
    </row>
    <row r="708" spans="1:13">
      <c r="B708" s="531" t="s">
        <v>1656</v>
      </c>
      <c r="D708" s="531" t="s">
        <v>1653</v>
      </c>
      <c r="F708" s="1533">
        <f>'Part V-Utility Allowances'!F14</f>
        <v>0</v>
      </c>
      <c r="G708" s="1533" t="str">
        <f>'Part V-Utility Allowances'!G14</f>
        <v>X</v>
      </c>
      <c r="I708" s="615">
        <f>'Part V-Utility Allowances'!I14</f>
        <v>0</v>
      </c>
      <c r="J708" s="615">
        <f>'Part V-Utility Allowances'!J14</f>
        <v>0</v>
      </c>
      <c r="K708" s="615">
        <f>'Part V-Utility Allowances'!K14</f>
        <v>0</v>
      </c>
      <c r="L708" s="615">
        <f>'Part V-Utility Allowances'!L14</f>
        <v>0</v>
      </c>
      <c r="M708" s="615">
        <f>'Part V-Utility Allowances'!M14</f>
        <v>0</v>
      </c>
    </row>
    <row r="709" spans="1:13">
      <c r="B709" s="531" t="s">
        <v>1420</v>
      </c>
      <c r="D709" s="531" t="s">
        <v>4167</v>
      </c>
      <c r="E709" s="615" t="str">
        <f>'Part V-Utility Allowances'!E15</f>
        <v>&lt;Select&gt;</v>
      </c>
      <c r="F709" s="1533">
        <f>'Part V-Utility Allowances'!F15</f>
        <v>0</v>
      </c>
      <c r="G709" s="1533" t="str">
        <f>'Part V-Utility Allowances'!G15</f>
        <v>X</v>
      </c>
      <c r="I709" s="615">
        <f>'Part V-Utility Allowances'!I15</f>
        <v>0</v>
      </c>
      <c r="J709" s="615">
        <f>'Part V-Utility Allowances'!J15</f>
        <v>0</v>
      </c>
      <c r="K709" s="615">
        <f>'Part V-Utility Allowances'!K15</f>
        <v>0</v>
      </c>
      <c r="L709" s="615">
        <f>'Part V-Utility Allowances'!L15</f>
        <v>0</v>
      </c>
      <c r="M709" s="615">
        <f>'Part V-Utility Allowances'!M15</f>
        <v>0</v>
      </c>
    </row>
    <row r="710" spans="1:13">
      <c r="B710" s="531" t="s">
        <v>1921</v>
      </c>
      <c r="F710" s="1533">
        <f>'Part V-Utility Allowances'!F16</f>
        <v>0</v>
      </c>
      <c r="G710" s="1533" t="str">
        <f>'Part V-Utility Allowances'!G16</f>
        <v>X</v>
      </c>
      <c r="I710" s="615">
        <f>'Part V-Utility Allowances'!I16</f>
        <v>0</v>
      </c>
      <c r="J710" s="615">
        <f>'Part V-Utility Allowances'!J16</f>
        <v>0</v>
      </c>
      <c r="K710" s="615">
        <f>'Part V-Utility Allowances'!K16</f>
        <v>0</v>
      </c>
      <c r="L710" s="615">
        <f>'Part V-Utility Allowances'!L16</f>
        <v>0</v>
      </c>
      <c r="M710" s="615">
        <f>'Part V-Utility Allowances'!M16</f>
        <v>0</v>
      </c>
    </row>
    <row r="711" spans="1:13">
      <c r="B711" s="29" t="s">
        <v>1057</v>
      </c>
      <c r="F711" s="615"/>
      <c r="G711" s="615"/>
      <c r="I711" s="31">
        <f>IF(SUM(I704:I710)=0,0,IF(OR($D704="&lt;&lt;Select Fuel &gt;&gt;",$D706="&lt;&lt;Select Fuel &gt;&gt;",$D707="&lt;&lt;Select Fuel &gt;&gt;"),"Select Fuel",IF($E709="&lt;Select&gt;","Submeter?",SUM(I704:I710))))</f>
        <v>0</v>
      </c>
      <c r="J711" s="31">
        <f>IF(SUM(J704:J710)=0,0,IF(OR($D704="&lt;&lt;Select Fuel &gt;&gt;",$D706="&lt;&lt;Select Fuel &gt;&gt;",$D707="&lt;&lt;Select Fuel &gt;&gt;"),"Select Fuel",IF($E709="&lt;Select&gt;","Submeter?",SUM(J704:J710))))</f>
        <v>0</v>
      </c>
      <c r="K711" s="31">
        <f>IF(SUM(K704:K710)=0,0,IF(OR($D704="&lt;&lt;Select Fuel &gt;&gt;",$D706="&lt;&lt;Select Fuel &gt;&gt;",$D707="&lt;&lt;Select Fuel &gt;&gt;"),"Select Fuel",IF($E709="&lt;Select&gt;","Submeter?",SUM(K704:K710))))</f>
        <v>0</v>
      </c>
      <c r="L711" s="31">
        <f>IF(SUM(L704:L710)=0,0,IF(OR($D704="&lt;&lt;Select Fuel &gt;&gt;",$D706="&lt;&lt;Select Fuel &gt;&gt;",$D707="&lt;&lt;Select Fuel &gt;&gt;"),"Select Fuel",IF($E709="&lt;Select&gt;","Submeter?",SUM(L704:L710))))</f>
        <v>0</v>
      </c>
      <c r="M711" s="31">
        <f>IF(SUM(M704:M710)=0,0,IF(OR($D704="&lt;&lt;Select Fuel &gt;&gt;",$D706="&lt;&lt;Select Fuel &gt;&gt;",$D707="&lt;&lt;Select Fuel &gt;&gt;"),"Select Fuel",IF($E709="&lt;Select&gt;","Submeter?",SUM(M704:M710))))</f>
        <v>0</v>
      </c>
    </row>
    <row r="712" spans="1:13">
      <c r="B712" s="467" t="s">
        <v>4168</v>
      </c>
      <c r="F712" s="615"/>
      <c r="G712" s="615"/>
      <c r="I712" s="31"/>
      <c r="J712" s="31"/>
      <c r="K712" s="31"/>
      <c r="L712" s="31"/>
      <c r="M712" s="31"/>
    </row>
    <row r="714" spans="1:13">
      <c r="A714" s="29" t="s">
        <v>770</v>
      </c>
      <c r="B714" s="29" t="s">
        <v>2307</v>
      </c>
      <c r="F714" s="531" t="s">
        <v>2606</v>
      </c>
      <c r="I714" s="1530">
        <f>'Part V-Utility Allowances'!I20</f>
        <v>0</v>
      </c>
      <c r="J714" s="1530"/>
      <c r="K714" s="1530"/>
      <c r="L714" s="1530"/>
      <c r="M714" s="1530"/>
    </row>
    <row r="715" spans="1:13">
      <c r="A715" s="29"/>
      <c r="B715" s="29"/>
      <c r="F715" s="531" t="s">
        <v>660</v>
      </c>
      <c r="I715" s="1531">
        <f>'Part V-Utility Allowances'!I21</f>
        <v>0</v>
      </c>
      <c r="J715" s="1531"/>
      <c r="K715" s="615" t="s">
        <v>559</v>
      </c>
      <c r="L715" s="1530">
        <f>'Part V-Utility Allowances'!L21</f>
        <v>0</v>
      </c>
      <c r="M715" s="1530"/>
    </row>
    <row r="716" spans="1:13">
      <c r="A716" s="29"/>
    </row>
    <row r="717" spans="1:13">
      <c r="A717" s="29"/>
      <c r="B717" s="29"/>
      <c r="C717" s="29"/>
      <c r="D717" s="29"/>
      <c r="E717" s="29"/>
      <c r="F717" s="1532" t="s">
        <v>633</v>
      </c>
      <c r="G717" s="1532"/>
      <c r="H717" s="29"/>
      <c r="I717" s="1532" t="s">
        <v>206</v>
      </c>
      <c r="J717" s="1532"/>
      <c r="K717" s="1532"/>
      <c r="L717" s="1532"/>
      <c r="M717" s="1532"/>
    </row>
    <row r="718" spans="1:13">
      <c r="A718" s="29"/>
      <c r="B718" s="29" t="s">
        <v>830</v>
      </c>
      <c r="C718" s="29"/>
      <c r="D718" s="29" t="s">
        <v>1657</v>
      </c>
      <c r="E718" s="29"/>
      <c r="F718" s="31" t="s">
        <v>666</v>
      </c>
      <c r="G718" s="31" t="s">
        <v>1920</v>
      </c>
      <c r="H718" s="29"/>
      <c r="I718" s="31" t="s">
        <v>587</v>
      </c>
      <c r="J718" s="31">
        <v>1</v>
      </c>
      <c r="K718" s="31">
        <v>2</v>
      </c>
      <c r="L718" s="31">
        <v>3</v>
      </c>
      <c r="M718" s="31">
        <v>4</v>
      </c>
    </row>
    <row r="719" spans="1:13">
      <c r="B719" s="531" t="s">
        <v>1922</v>
      </c>
      <c r="D719" s="1530" t="str">
        <f>'Part V-Utility Allowances'!D25</f>
        <v>&lt;&lt;Select Fuel &gt;&gt;</v>
      </c>
      <c r="E719" s="1530"/>
      <c r="F719" s="1533">
        <f>'Part V-Utility Allowances'!F25</f>
        <v>0</v>
      </c>
      <c r="G719" s="1533">
        <f>'Part V-Utility Allowances'!G25</f>
        <v>0</v>
      </c>
      <c r="I719" s="615">
        <f>'Part V-Utility Allowances'!I25</f>
        <v>0</v>
      </c>
      <c r="J719" s="615">
        <f>'Part V-Utility Allowances'!J25</f>
        <v>0</v>
      </c>
      <c r="K719" s="615">
        <f>'Part V-Utility Allowances'!K25</f>
        <v>0</v>
      </c>
      <c r="L719" s="615">
        <f>'Part V-Utility Allowances'!L25</f>
        <v>0</v>
      </c>
      <c r="M719" s="615">
        <f>'Part V-Utility Allowances'!M25</f>
        <v>0</v>
      </c>
    </row>
    <row r="720" spans="1:13">
      <c r="B720" s="531" t="s">
        <v>484</v>
      </c>
      <c r="D720" s="531" t="s">
        <v>1653</v>
      </c>
      <c r="F720" s="1533">
        <f>'Part V-Utility Allowances'!F26</f>
        <v>0</v>
      </c>
      <c r="G720" s="1533">
        <f>'Part V-Utility Allowances'!G26</f>
        <v>0</v>
      </c>
      <c r="I720" s="615">
        <f>'Part V-Utility Allowances'!I26</f>
        <v>0</v>
      </c>
      <c r="J720" s="615">
        <f>'Part V-Utility Allowances'!J26</f>
        <v>0</v>
      </c>
      <c r="K720" s="615">
        <f>'Part V-Utility Allowances'!K26</f>
        <v>0</v>
      </c>
      <c r="L720" s="615">
        <f>'Part V-Utility Allowances'!L26</f>
        <v>0</v>
      </c>
      <c r="M720" s="615">
        <f>'Part V-Utility Allowances'!M26</f>
        <v>0</v>
      </c>
    </row>
    <row r="721" spans="1:13">
      <c r="B721" s="531" t="s">
        <v>1654</v>
      </c>
      <c r="D721" s="1530" t="str">
        <f>'Part V-Utility Allowances'!D27</f>
        <v>&lt;&lt;Select Fuel &gt;&gt;</v>
      </c>
      <c r="E721" s="1530"/>
      <c r="F721" s="1533">
        <f>'Part V-Utility Allowances'!F27</f>
        <v>0</v>
      </c>
      <c r="G721" s="1533">
        <f>'Part V-Utility Allowances'!G27</f>
        <v>0</v>
      </c>
      <c r="I721" s="615">
        <f>'Part V-Utility Allowances'!I27</f>
        <v>0</v>
      </c>
      <c r="J721" s="615">
        <f>'Part V-Utility Allowances'!J27</f>
        <v>0</v>
      </c>
      <c r="K721" s="615">
        <f>'Part V-Utility Allowances'!K27</f>
        <v>0</v>
      </c>
      <c r="L721" s="615">
        <f>'Part V-Utility Allowances'!L27</f>
        <v>0</v>
      </c>
      <c r="M721" s="615">
        <f>'Part V-Utility Allowances'!M27</f>
        <v>0</v>
      </c>
    </row>
    <row r="722" spans="1:13">
      <c r="B722" s="531" t="s">
        <v>1655</v>
      </c>
      <c r="D722" s="1530" t="str">
        <f>'Part V-Utility Allowances'!D28</f>
        <v>&lt;&lt;Select Fuel &gt;&gt;</v>
      </c>
      <c r="E722" s="1530"/>
      <c r="F722" s="1533">
        <f>'Part V-Utility Allowances'!F28</f>
        <v>0</v>
      </c>
      <c r="G722" s="1533">
        <f>'Part V-Utility Allowances'!G28</f>
        <v>0</v>
      </c>
      <c r="I722" s="615">
        <f>'Part V-Utility Allowances'!I28</f>
        <v>0</v>
      </c>
      <c r="J722" s="615">
        <f>'Part V-Utility Allowances'!J28</f>
        <v>0</v>
      </c>
      <c r="K722" s="615">
        <f>'Part V-Utility Allowances'!K28</f>
        <v>0</v>
      </c>
      <c r="L722" s="615">
        <f>'Part V-Utility Allowances'!L28</f>
        <v>0</v>
      </c>
      <c r="M722" s="615">
        <f>'Part V-Utility Allowances'!M28</f>
        <v>0</v>
      </c>
    </row>
    <row r="723" spans="1:13">
      <c r="B723" s="531" t="s">
        <v>1656</v>
      </c>
      <c r="D723" s="531" t="s">
        <v>1653</v>
      </c>
      <c r="F723" s="1533">
        <f>'Part V-Utility Allowances'!F29</f>
        <v>0</v>
      </c>
      <c r="G723" s="1533">
        <f>'Part V-Utility Allowances'!G29</f>
        <v>0</v>
      </c>
      <c r="I723" s="615">
        <f>'Part V-Utility Allowances'!I29</f>
        <v>0</v>
      </c>
      <c r="J723" s="615">
        <f>'Part V-Utility Allowances'!J29</f>
        <v>0</v>
      </c>
      <c r="K723" s="615">
        <f>'Part V-Utility Allowances'!K29</f>
        <v>0</v>
      </c>
      <c r="L723" s="615">
        <f>'Part V-Utility Allowances'!L29</f>
        <v>0</v>
      </c>
      <c r="M723" s="615">
        <f>'Part V-Utility Allowances'!M29</f>
        <v>0</v>
      </c>
    </row>
    <row r="724" spans="1:13">
      <c r="B724" s="531" t="s">
        <v>1420</v>
      </c>
      <c r="D724" s="531" t="s">
        <v>4167</v>
      </c>
      <c r="E724" s="615" t="str">
        <f>'Part V-Utility Allowances'!E30</f>
        <v>&lt;Select&gt;</v>
      </c>
      <c r="F724" s="1533">
        <f>'Part V-Utility Allowances'!F30</f>
        <v>0</v>
      </c>
      <c r="G724" s="1533">
        <f>'Part V-Utility Allowances'!G30</f>
        <v>0</v>
      </c>
      <c r="I724" s="615">
        <f>'Part V-Utility Allowances'!I30</f>
        <v>0</v>
      </c>
      <c r="J724" s="615">
        <f>'Part V-Utility Allowances'!J30</f>
        <v>0</v>
      </c>
      <c r="K724" s="615">
        <f>'Part V-Utility Allowances'!K30</f>
        <v>0</v>
      </c>
      <c r="L724" s="615">
        <f>'Part V-Utility Allowances'!L30</f>
        <v>0</v>
      </c>
      <c r="M724" s="615">
        <f>'Part V-Utility Allowances'!M30</f>
        <v>0</v>
      </c>
    </row>
    <row r="725" spans="1:13">
      <c r="B725" s="531" t="s">
        <v>1921</v>
      </c>
      <c r="F725" s="1533">
        <f>'Part V-Utility Allowances'!F31</f>
        <v>0</v>
      </c>
      <c r="G725" s="1533">
        <f>'Part V-Utility Allowances'!G31</f>
        <v>0</v>
      </c>
      <c r="I725" s="615">
        <f>'Part V-Utility Allowances'!I31</f>
        <v>0</v>
      </c>
      <c r="J725" s="615">
        <f>'Part V-Utility Allowances'!J31</f>
        <v>0</v>
      </c>
      <c r="K725" s="615">
        <f>'Part V-Utility Allowances'!K31</f>
        <v>0</v>
      </c>
      <c r="L725" s="615">
        <f>'Part V-Utility Allowances'!L31</f>
        <v>0</v>
      </c>
      <c r="M725" s="615">
        <f>'Part V-Utility Allowances'!M31</f>
        <v>0</v>
      </c>
    </row>
    <row r="726" spans="1:13">
      <c r="B726" s="29" t="s">
        <v>1057</v>
      </c>
      <c r="F726" s="615"/>
      <c r="G726" s="615"/>
      <c r="I726" s="31">
        <f>IF(SUM(I719:I725)=0,0,IF(OR($D719="&lt;&lt;Select Fuel &gt;&gt;",$D721="&lt;&lt;Select Fuel &gt;&gt;",$D722="&lt;&lt;Select Fuel &gt;&gt;"),"Select Fuel",IF($E724="&lt;Select&gt;","Submeter?",SUM(I719:I725))))</f>
        <v>0</v>
      </c>
      <c r="J726" s="31">
        <f>IF(SUM(J719:J725)=0,0,IF(OR($D719="&lt;&lt;Select Fuel &gt;&gt;",$D721="&lt;&lt;Select Fuel &gt;&gt;",$D722="&lt;&lt;Select Fuel &gt;&gt;"),"Select Fuel",IF($E724="&lt;Select&gt;","Submeter?",SUM(J719:J725))))</f>
        <v>0</v>
      </c>
      <c r="K726" s="31">
        <f>IF(SUM(K719:K725)=0,0,IF(OR($D719="&lt;&lt;Select Fuel &gt;&gt;",$D721="&lt;&lt;Select Fuel &gt;&gt;",$D722="&lt;&lt;Select Fuel &gt;&gt;"),"Select Fuel",IF($E724="&lt;Select&gt;","Submeter?",SUM(K719:K725))))</f>
        <v>0</v>
      </c>
      <c r="L726" s="31">
        <f>IF(SUM(L719:L725)=0,0,IF(OR($D719="&lt;&lt;Select Fuel &gt;&gt;",$D721="&lt;&lt;Select Fuel &gt;&gt;",$D722="&lt;&lt;Select Fuel &gt;&gt;"),"Select Fuel",IF($E724="&lt;Select&gt;","Submeter?",SUM(L719:L725))))</f>
        <v>0</v>
      </c>
      <c r="M726" s="31">
        <f>IF(SUM(M719:M725)=0,0,IF(OR($D719="&lt;&lt;Select Fuel &gt;&gt;",$D721="&lt;&lt;Select Fuel &gt;&gt;",$D722="&lt;&lt;Select Fuel &gt;&gt;"),"Select Fuel",IF($E724="&lt;Select&gt;","Submeter?",SUM(M719:M725))))</f>
        <v>0</v>
      </c>
    </row>
    <row r="727" spans="1:13">
      <c r="B727" s="467" t="s">
        <v>4168</v>
      </c>
      <c r="F727" s="615"/>
      <c r="G727" s="615"/>
      <c r="I727" s="31"/>
      <c r="J727" s="31"/>
      <c r="K727" s="31"/>
      <c r="L727" s="31"/>
      <c r="M727" s="31"/>
    </row>
    <row r="729" spans="1:13">
      <c r="B729" s="1534" t="s">
        <v>1873</v>
      </c>
    </row>
    <row r="731" spans="1:13">
      <c r="A731" s="29"/>
      <c r="B731" s="29" t="s">
        <v>593</v>
      </c>
    </row>
    <row r="732" spans="1:13" ht="324">
      <c r="B732" s="1482" t="str">
        <f>'Part V-Utility Allowances'!B38</f>
        <v xml:space="preserve">The owner will pay 100% of the resident's utility expenses; consequently, there are no expenses reflected on the above chart. Per DCA's requirement, the Atlanta Housing Authority utility allowance schedule is included in Tab 1. </v>
      </c>
      <c r="C732" s="1482"/>
      <c r="D732" s="1482"/>
      <c r="E732" s="1482"/>
      <c r="F732" s="1482"/>
      <c r="G732" s="1482"/>
      <c r="H732" s="1482"/>
      <c r="I732" s="1482"/>
      <c r="J732" s="1482"/>
      <c r="K732" s="1482"/>
      <c r="L732" s="1482"/>
      <c r="M732" s="1482"/>
    </row>
    <row r="734" spans="1:13">
      <c r="A734" s="29"/>
      <c r="B734" s="29" t="s">
        <v>1915</v>
      </c>
    </row>
    <row r="735" spans="1:13">
      <c r="B735" s="1482">
        <f>'Part V-Utility Allowances'!B41</f>
        <v>0</v>
      </c>
      <c r="C735" s="1482"/>
      <c r="D735" s="1482"/>
      <c r="E735" s="1482"/>
      <c r="F735" s="1482"/>
      <c r="G735" s="1482"/>
      <c r="H735" s="1482"/>
      <c r="I735" s="1482"/>
      <c r="J735" s="1482"/>
      <c r="K735" s="1482"/>
      <c r="L735" s="1482"/>
      <c r="M735" s="1482"/>
    </row>
    <row r="744" spans="1:277" s="533" customFormat="1" ht="13.9" customHeight="1">
      <c r="A744" s="10" t="str">
        <f>CONCATENATE("DRAFT PART SIX - PROJECTED REVENUES &amp; EXPENSES","  -  ",'Part I-Project Information'!$O$4," ",'Part I-Project Information'!$F$24,", ",'Part I-Project Information'!F689,", ",'Part I-Project Information'!J690," County")</f>
        <v>DRAFT PART SIX - PROJECTED REVENUES &amp; EXPENSES  -  2016-524 Wheat Street Tower, ,  County</v>
      </c>
      <c r="B744" s="10"/>
      <c r="C744" s="10"/>
      <c r="D744" s="10"/>
      <c r="E744" s="10"/>
      <c r="F744" s="10"/>
      <c r="G744" s="10"/>
      <c r="H744" s="10"/>
      <c r="I744" s="10"/>
      <c r="J744" s="10"/>
      <c r="K744" s="10"/>
      <c r="L744" s="10"/>
      <c r="M744" s="10"/>
      <c r="N744" s="10"/>
      <c r="O744" s="10"/>
      <c r="P744" s="10"/>
      <c r="Q744" s="1190"/>
      <c r="U744" s="10" t="str">
        <f>A744</f>
        <v>DRAFT PART SIX - PROJECTED REVENUES &amp; EXPENSES  -  2016-524 Wheat Street Tower, ,  County</v>
      </c>
      <c r="V744" s="10"/>
      <c r="EU744" s="484"/>
      <c r="EV744" s="484"/>
      <c r="EW744" s="484"/>
      <c r="EX744" s="484"/>
      <c r="EY744" s="484"/>
      <c r="EZ744" s="484"/>
      <c r="FA744" s="484"/>
      <c r="FB744" s="484"/>
      <c r="FC744" s="484"/>
      <c r="FD744" s="484"/>
      <c r="FE744" s="484"/>
      <c r="FF744" s="484"/>
      <c r="FG744" s="484"/>
      <c r="FH744" s="484"/>
      <c r="FI744" s="484"/>
      <c r="FJ744" s="484"/>
      <c r="FK744" s="484"/>
      <c r="FL744" s="484"/>
      <c r="FM744" s="484"/>
      <c r="FN744" s="484"/>
      <c r="FO744" s="484"/>
      <c r="FP744" s="484"/>
      <c r="FQ744" s="484"/>
      <c r="FR744" s="484"/>
      <c r="FS744" s="484"/>
      <c r="FT744" s="484"/>
      <c r="FU744" s="484"/>
      <c r="FV744" s="484"/>
      <c r="FW744" s="484"/>
      <c r="FX744" s="484"/>
      <c r="FY744" s="484"/>
      <c r="FZ744" s="484"/>
      <c r="GA744" s="484"/>
      <c r="GB744" s="484"/>
      <c r="GC744" s="484"/>
      <c r="GD744" s="484"/>
      <c r="GE744" s="484"/>
      <c r="GF744" s="484"/>
      <c r="GG744" s="484"/>
      <c r="GH744" s="484"/>
      <c r="GI744" s="484"/>
      <c r="GJ744" s="484"/>
      <c r="GK744" s="484"/>
      <c r="GL744" s="484"/>
      <c r="GM744" s="484"/>
      <c r="GN744" s="484"/>
      <c r="GO744" s="484"/>
      <c r="GP744" s="484"/>
      <c r="GQ744" s="484"/>
      <c r="GR744" s="484"/>
      <c r="GS744" s="484"/>
      <c r="GT744" s="484"/>
      <c r="GU744" s="484"/>
      <c r="GV744" s="484"/>
      <c r="GW744" s="484"/>
      <c r="GX744" s="484"/>
      <c r="GY744" s="484"/>
      <c r="GZ744" s="484"/>
      <c r="HA744" s="484"/>
      <c r="HB744" s="484"/>
      <c r="HC744" s="484"/>
      <c r="HD744" s="484"/>
      <c r="HE744" s="484"/>
      <c r="HF744" s="484"/>
      <c r="HG744" s="484"/>
      <c r="HH744" s="484"/>
      <c r="HI744" s="484"/>
      <c r="HJ744" s="484"/>
      <c r="HK744" s="484"/>
      <c r="HL744" s="484"/>
      <c r="HO744" s="484"/>
      <c r="HP744" s="484"/>
      <c r="HQ744" s="484"/>
      <c r="HV744" s="10"/>
      <c r="IA744" s="10"/>
    </row>
    <row r="745" spans="1:277" ht="6" customHeight="1">
      <c r="W745" s="1535"/>
      <c r="X745" s="1535"/>
      <c r="Y745" s="1535"/>
      <c r="Z745" s="1535"/>
      <c r="AA745" s="1535"/>
      <c r="AB745" s="1535"/>
      <c r="AC745" s="1535"/>
      <c r="AD745" s="1535"/>
      <c r="AE745" s="1535"/>
      <c r="AF745" s="1535"/>
      <c r="AG745" s="1535"/>
      <c r="AH745" s="1535"/>
      <c r="AI745" s="1535"/>
      <c r="AJ745" s="1535"/>
      <c r="AK745" s="1535"/>
      <c r="AL745" s="1535"/>
      <c r="AM745" s="1535"/>
      <c r="AN745" s="1535"/>
      <c r="AO745" s="1535"/>
      <c r="AP745" s="1535"/>
      <c r="AQ745" s="1535"/>
      <c r="AR745" s="1535"/>
      <c r="AS745" s="1535"/>
      <c r="AT745" s="1535"/>
      <c r="AU745" s="1535"/>
      <c r="AV745" s="1535"/>
      <c r="AW745" s="1535"/>
      <c r="AX745" s="1535"/>
      <c r="AY745" s="1535"/>
      <c r="AZ745" s="1535"/>
      <c r="BA745" s="1535"/>
      <c r="BB745" s="1535"/>
      <c r="BC745" s="1535"/>
      <c r="BD745" s="1535"/>
      <c r="BE745" s="1535"/>
      <c r="BF745" s="1535"/>
      <c r="BG745" s="1535"/>
      <c r="BH745" s="1535"/>
      <c r="BI745" s="1535"/>
      <c r="BJ745" s="1535"/>
      <c r="BK745" s="1535"/>
      <c r="BL745" s="1535"/>
      <c r="BM745" s="1535"/>
      <c r="BN745" s="1535"/>
      <c r="BO745" s="1535"/>
      <c r="BP745" s="1535"/>
      <c r="BQ745" s="1535"/>
      <c r="BR745" s="1535"/>
      <c r="BS745" s="1535"/>
      <c r="BT745" s="1535"/>
      <c r="BU745" s="1535"/>
      <c r="BV745" s="1535"/>
      <c r="BW745" s="1535"/>
      <c r="BX745" s="1535"/>
      <c r="BY745" s="1535"/>
      <c r="BZ745" s="1535"/>
      <c r="CA745" s="1535"/>
      <c r="CB745" s="1535"/>
      <c r="CC745" s="1535"/>
      <c r="CD745" s="1535"/>
      <c r="CE745" s="1535"/>
      <c r="CF745" s="1535"/>
      <c r="CG745" s="1535"/>
      <c r="CH745" s="1535"/>
      <c r="CI745" s="1535"/>
      <c r="CJ745" s="1535"/>
      <c r="CK745" s="1535"/>
      <c r="CL745" s="1535"/>
      <c r="CM745" s="1535"/>
      <c r="CN745" s="1535"/>
      <c r="CO745" s="1535"/>
      <c r="CP745" s="1535"/>
      <c r="CQ745" s="1535"/>
      <c r="CR745" s="1535"/>
      <c r="CS745" s="1535"/>
      <c r="CT745" s="1535"/>
      <c r="CU745" s="1535"/>
      <c r="CV745" s="1535"/>
      <c r="CW745" s="1535"/>
      <c r="CX745" s="1535"/>
      <c r="CY745" s="1535"/>
      <c r="CZ745" s="1535"/>
      <c r="DA745" s="1535"/>
      <c r="DB745" s="1535"/>
      <c r="DC745" s="1535"/>
      <c r="DD745" s="1535"/>
      <c r="DE745" s="1535"/>
      <c r="DF745" s="1535"/>
      <c r="DG745" s="1535"/>
      <c r="DH745" s="1535"/>
      <c r="DI745" s="1535"/>
      <c r="DJ745" s="1535"/>
      <c r="DK745" s="1535"/>
      <c r="DL745" s="1535"/>
      <c r="DM745" s="1535"/>
      <c r="DN745" s="1535"/>
      <c r="DO745" s="1535"/>
      <c r="DP745" s="1535"/>
      <c r="DQ745" s="1535"/>
      <c r="DR745" s="1535"/>
      <c r="DS745" s="1535"/>
      <c r="DT745" s="1535"/>
      <c r="DU745" s="1535"/>
      <c r="DV745" s="1535"/>
      <c r="DW745" s="1535"/>
      <c r="DX745" s="1535"/>
      <c r="DY745" s="1535"/>
      <c r="DZ745" s="1535"/>
      <c r="EA745" s="1535"/>
      <c r="EB745" s="1535"/>
      <c r="EC745" s="1535"/>
      <c r="ED745" s="1535"/>
      <c r="EE745" s="1535"/>
      <c r="EF745" s="1535"/>
      <c r="EG745" s="1535"/>
      <c r="EH745" s="1535"/>
      <c r="EI745" s="1535"/>
      <c r="EJ745" s="1535"/>
      <c r="EK745" s="1535"/>
      <c r="EL745" s="1535"/>
      <c r="EM745" s="1535"/>
      <c r="EN745" s="1535"/>
      <c r="EO745" s="1535"/>
      <c r="EP745" s="1535"/>
      <c r="EQ745" s="1535"/>
      <c r="ER745" s="1535"/>
      <c r="ES745" s="1535"/>
      <c r="ET745" s="1535"/>
      <c r="EU745" s="1535"/>
      <c r="EV745" s="1535"/>
      <c r="EW745" s="847"/>
      <c r="EX745" s="847"/>
      <c r="EY745" s="847"/>
      <c r="EZ745" s="847"/>
      <c r="FA745" s="847"/>
      <c r="FB745" s="847"/>
      <c r="FC745" s="847"/>
      <c r="FD745" s="847"/>
      <c r="FE745" s="847"/>
      <c r="FF745" s="847"/>
      <c r="FG745" s="847"/>
      <c r="FH745" s="847"/>
      <c r="FI745" s="847"/>
      <c r="FJ745" s="847"/>
      <c r="FK745" s="847"/>
      <c r="FL745" s="847"/>
      <c r="FM745" s="847"/>
      <c r="FN745" s="847"/>
      <c r="FO745" s="847"/>
      <c r="FP745" s="847"/>
      <c r="FQ745" s="847"/>
      <c r="FR745" s="847"/>
      <c r="FS745" s="847"/>
      <c r="FT745" s="847"/>
      <c r="FU745" s="847"/>
      <c r="FV745" s="847"/>
      <c r="FW745" s="847"/>
      <c r="FX745" s="847"/>
      <c r="FY745" s="847"/>
      <c r="FZ745" s="847"/>
      <c r="GA745" s="847"/>
      <c r="GB745" s="847"/>
      <c r="GC745" s="847"/>
      <c r="GD745" s="847"/>
      <c r="GE745" s="847"/>
      <c r="GF745" s="847"/>
      <c r="GG745" s="847"/>
      <c r="GH745" s="847"/>
      <c r="GI745" s="847"/>
      <c r="GJ745" s="847"/>
      <c r="GK745" s="847"/>
      <c r="GL745" s="847"/>
      <c r="GM745" s="847"/>
      <c r="GN745" s="847"/>
      <c r="GO745" s="847"/>
      <c r="GP745" s="847"/>
      <c r="GQ745" s="847"/>
      <c r="GR745" s="847"/>
      <c r="GS745" s="847"/>
      <c r="GT745" s="847"/>
      <c r="GU745" s="847"/>
      <c r="GV745" s="847"/>
      <c r="GW745" s="847"/>
      <c r="GX745" s="847"/>
      <c r="GY745" s="847"/>
      <c r="GZ745" s="847"/>
      <c r="HA745" s="847"/>
      <c r="HB745" s="847"/>
      <c r="HC745" s="847"/>
      <c r="HD745" s="847"/>
      <c r="HE745" s="847"/>
      <c r="HF745" s="847"/>
      <c r="HG745" s="847"/>
      <c r="HH745" s="847"/>
      <c r="HI745" s="847"/>
      <c r="HJ745" s="847"/>
      <c r="HK745" s="847"/>
      <c r="HL745" s="847"/>
      <c r="HM745" s="847"/>
      <c r="HN745" s="847"/>
      <c r="HO745" s="847"/>
      <c r="HP745" s="847"/>
      <c r="HQ745" s="847"/>
      <c r="HR745" s="847"/>
      <c r="HS745" s="847"/>
      <c r="HT745" s="1535"/>
      <c r="HU745" s="1535"/>
      <c r="HV745" s="1535"/>
      <c r="HW745" s="1535"/>
      <c r="HX745" s="1535"/>
      <c r="HY745" s="1535"/>
      <c r="HZ745" s="1535"/>
      <c r="IA745" s="1535"/>
      <c r="IB745" s="1535"/>
      <c r="IC745" s="1535"/>
      <c r="II745" s="1535"/>
      <c r="IJ745" s="1535"/>
      <c r="IK745" s="1535"/>
      <c r="IL745" s="1535"/>
      <c r="IM745" s="1535"/>
      <c r="IN745" s="1535"/>
      <c r="IO745" s="1535"/>
      <c r="IP745" s="1535"/>
      <c r="IQ745" s="1535"/>
      <c r="IR745" s="1535"/>
      <c r="IS745" s="1535"/>
      <c r="IT745" s="1535"/>
      <c r="IU745" s="1535"/>
      <c r="IV745" s="1535"/>
      <c r="IW745" s="1535"/>
      <c r="IX745" s="1535"/>
      <c r="IY745" s="1535"/>
      <c r="IZ745" s="1535"/>
      <c r="JA745" s="1535"/>
      <c r="JB745" s="1535"/>
    </row>
    <row r="746" spans="1:277" s="533" customFormat="1" ht="12.6" customHeight="1">
      <c r="A746" s="10" t="s">
        <v>640</v>
      </c>
      <c r="B746" s="10" t="s">
        <v>2449</v>
      </c>
      <c r="D746" s="573" t="s">
        <v>3856</v>
      </c>
      <c r="G746" s="10"/>
      <c r="H746" s="10"/>
      <c r="I746" s="10"/>
      <c r="J746" s="10"/>
      <c r="K746" s="10"/>
      <c r="L746" s="10"/>
      <c r="R746" s="10"/>
      <c r="S746" s="10"/>
      <c r="T746" s="10"/>
      <c r="U746" s="10" t="str">
        <f>B746</f>
        <v>RENT SCHEDULE</v>
      </c>
      <c r="W746" s="109"/>
      <c r="X746" s="109"/>
      <c r="Y746" s="109"/>
      <c r="Z746" s="109"/>
      <c r="AA746" s="109"/>
      <c r="AB746" s="109"/>
      <c r="AC746" s="109"/>
      <c r="AD746" s="109"/>
      <c r="AE746" s="109"/>
      <c r="AF746" s="109"/>
      <c r="AG746" s="109"/>
      <c r="AH746" s="109"/>
      <c r="AI746" s="109"/>
      <c r="AJ746" s="109"/>
      <c r="AK746" s="109"/>
      <c r="AL746" s="109"/>
      <c r="AM746" s="109"/>
      <c r="AN746" s="109"/>
      <c r="AO746" s="109"/>
      <c r="AP746" s="109"/>
      <c r="AQ746" s="109"/>
      <c r="AR746" s="109"/>
      <c r="AS746" s="109"/>
      <c r="AT746" s="109"/>
      <c r="AU746" s="109"/>
      <c r="AV746" s="109"/>
      <c r="AW746" s="109"/>
      <c r="AX746" s="109"/>
      <c r="AY746" s="109"/>
      <c r="AZ746" s="109"/>
      <c r="BA746" s="109"/>
      <c r="BB746" s="109"/>
      <c r="BC746" s="109"/>
      <c r="BD746" s="109"/>
      <c r="BE746" s="109"/>
      <c r="BF746" s="109"/>
      <c r="BG746" s="109"/>
      <c r="BH746" s="109"/>
      <c r="BI746" s="109"/>
      <c r="BJ746" s="109"/>
      <c r="BK746" s="109"/>
      <c r="BL746" s="109"/>
      <c r="BM746" s="109"/>
      <c r="BN746" s="109"/>
      <c r="BO746" s="109"/>
      <c r="BP746" s="109"/>
      <c r="BQ746" s="109"/>
      <c r="BR746" s="109"/>
      <c r="BS746" s="109"/>
      <c r="BT746" s="109"/>
      <c r="BU746" s="109"/>
      <c r="BV746" s="109"/>
      <c r="BW746" s="109"/>
      <c r="BX746" s="109"/>
      <c r="BY746" s="109"/>
      <c r="BZ746" s="109"/>
      <c r="CA746" s="109"/>
      <c r="CB746" s="109"/>
      <c r="CC746" s="109"/>
      <c r="CD746" s="109"/>
      <c r="CE746" s="109"/>
      <c r="CF746" s="109"/>
      <c r="CG746" s="109"/>
      <c r="CH746" s="109"/>
      <c r="CI746" s="109"/>
      <c r="CJ746" s="109"/>
      <c r="CK746" s="109"/>
      <c r="CL746" s="109"/>
      <c r="CM746" s="109"/>
      <c r="CN746" s="109"/>
      <c r="CO746" s="109"/>
      <c r="CP746" s="109"/>
      <c r="CQ746" s="109"/>
      <c r="CR746" s="109"/>
      <c r="CS746" s="109"/>
      <c r="CT746" s="109"/>
      <c r="CU746" s="109"/>
      <c r="CV746" s="109"/>
      <c r="CW746" s="109"/>
      <c r="CX746" s="109"/>
      <c r="CY746" s="109"/>
      <c r="CZ746" s="109"/>
      <c r="DA746" s="109"/>
      <c r="DB746" s="109"/>
      <c r="DC746" s="109"/>
      <c r="DD746" s="109"/>
      <c r="DE746" s="109"/>
      <c r="DF746" s="109"/>
      <c r="DG746" s="109"/>
      <c r="DH746" s="109"/>
      <c r="DI746" s="109"/>
      <c r="DJ746" s="109"/>
      <c r="DK746" s="109"/>
      <c r="DL746" s="109"/>
      <c r="DM746" s="109"/>
      <c r="DN746" s="109"/>
      <c r="DO746" s="109"/>
      <c r="DP746" s="109"/>
      <c r="DQ746" s="109"/>
      <c r="DR746" s="109"/>
      <c r="DS746" s="109"/>
      <c r="DT746" s="109"/>
      <c r="DU746" s="109"/>
      <c r="DV746" s="109"/>
      <c r="DW746" s="109"/>
      <c r="DX746" s="109"/>
      <c r="DY746" s="109"/>
      <c r="DZ746" s="109"/>
      <c r="EA746" s="109"/>
      <c r="EB746" s="109"/>
      <c r="EC746" s="109"/>
      <c r="ED746" s="109"/>
      <c r="EE746" s="109"/>
      <c r="EF746" s="109"/>
      <c r="EG746" s="109"/>
      <c r="EH746" s="109"/>
      <c r="EI746" s="109"/>
      <c r="EJ746" s="109"/>
      <c r="EK746" s="109"/>
      <c r="EL746" s="109"/>
      <c r="EM746" s="109"/>
      <c r="EN746" s="109"/>
      <c r="EO746" s="109"/>
      <c r="EP746" s="109"/>
      <c r="EQ746" s="109"/>
      <c r="ER746" s="109"/>
      <c r="ES746" s="109"/>
      <c r="ET746" s="109"/>
      <c r="EU746" s="109"/>
      <c r="EV746" s="109"/>
      <c r="EW746" s="1406"/>
      <c r="EX746" s="1406"/>
      <c r="EY746" s="1406"/>
      <c r="EZ746" s="1406"/>
      <c r="FA746" s="1406"/>
      <c r="FB746" s="847" t="s">
        <v>503</v>
      </c>
      <c r="FC746" s="847" t="s">
        <v>2525</v>
      </c>
      <c r="FD746" s="847" t="s">
        <v>2526</v>
      </c>
      <c r="FE746" s="847" t="s">
        <v>2527</v>
      </c>
      <c r="FF746" s="847" t="s">
        <v>2528</v>
      </c>
      <c r="FG746" s="847" t="s">
        <v>503</v>
      </c>
      <c r="FH746" s="847" t="s">
        <v>2525</v>
      </c>
      <c r="FI746" s="847" t="s">
        <v>2526</v>
      </c>
      <c r="FJ746" s="847" t="s">
        <v>2527</v>
      </c>
      <c r="FK746" s="847" t="s">
        <v>2528</v>
      </c>
      <c r="FL746" s="1406"/>
      <c r="FM746" s="1406"/>
      <c r="FN746" s="1406"/>
      <c r="FO746" s="1406"/>
      <c r="FP746" s="1406"/>
      <c r="FQ746" s="1406"/>
      <c r="FR746" s="1406"/>
      <c r="FS746" s="1406"/>
      <c r="FT746" s="1406"/>
      <c r="FU746" s="1406"/>
      <c r="FV746" s="847" t="s">
        <v>503</v>
      </c>
      <c r="FW746" s="847" t="s">
        <v>2525</v>
      </c>
      <c r="FX746" s="847" t="s">
        <v>2526</v>
      </c>
      <c r="FY746" s="847" t="s">
        <v>2527</v>
      </c>
      <c r="FZ746" s="847" t="s">
        <v>2528</v>
      </c>
      <c r="GA746" s="847" t="s">
        <v>503</v>
      </c>
      <c r="GB746" s="847" t="s">
        <v>2525</v>
      </c>
      <c r="GC746" s="847" t="s">
        <v>2526</v>
      </c>
      <c r="GD746" s="847" t="s">
        <v>2527</v>
      </c>
      <c r="GE746" s="847" t="s">
        <v>2528</v>
      </c>
      <c r="GF746" s="847" t="s">
        <v>503</v>
      </c>
      <c r="GG746" s="847" t="s">
        <v>2525</v>
      </c>
      <c r="GH746" s="847" t="s">
        <v>2526</v>
      </c>
      <c r="GI746" s="847" t="s">
        <v>2527</v>
      </c>
      <c r="GJ746" s="847" t="s">
        <v>2528</v>
      </c>
      <c r="GK746" s="847" t="s">
        <v>503</v>
      </c>
      <c r="GL746" s="847" t="s">
        <v>2525</v>
      </c>
      <c r="GM746" s="847" t="s">
        <v>2526</v>
      </c>
      <c r="GN746" s="847" t="s">
        <v>2527</v>
      </c>
      <c r="GO746" s="847" t="s">
        <v>2528</v>
      </c>
      <c r="GP746" s="847" t="s">
        <v>503</v>
      </c>
      <c r="GQ746" s="847" t="s">
        <v>2525</v>
      </c>
      <c r="GR746" s="847" t="s">
        <v>2526</v>
      </c>
      <c r="GS746" s="847" t="s">
        <v>2527</v>
      </c>
      <c r="GT746" s="847" t="s">
        <v>2528</v>
      </c>
      <c r="GU746" s="847" t="s">
        <v>503</v>
      </c>
      <c r="GV746" s="847" t="s">
        <v>2525</v>
      </c>
      <c r="GW746" s="847" t="s">
        <v>2526</v>
      </c>
      <c r="GX746" s="847" t="s">
        <v>2527</v>
      </c>
      <c r="GY746" s="847" t="s">
        <v>2528</v>
      </c>
      <c r="GZ746" s="847" t="s">
        <v>503</v>
      </c>
      <c r="HA746" s="847" t="s">
        <v>2525</v>
      </c>
      <c r="HB746" s="847" t="s">
        <v>2526</v>
      </c>
      <c r="HC746" s="847" t="s">
        <v>2527</v>
      </c>
      <c r="HD746" s="847" t="s">
        <v>2528</v>
      </c>
      <c r="HE746" s="847" t="s">
        <v>503</v>
      </c>
      <c r="HF746" s="847" t="s">
        <v>2525</v>
      </c>
      <c r="HG746" s="847" t="s">
        <v>2526</v>
      </c>
      <c r="HH746" s="847" t="s">
        <v>2527</v>
      </c>
      <c r="HI746" s="847" t="s">
        <v>2528</v>
      </c>
      <c r="HJ746" s="847" t="s">
        <v>503</v>
      </c>
      <c r="HK746" s="847" t="s">
        <v>2525</v>
      </c>
      <c r="HL746" s="847" t="s">
        <v>2526</v>
      </c>
      <c r="HM746" s="847" t="s">
        <v>2527</v>
      </c>
      <c r="HN746" s="847" t="s">
        <v>2528</v>
      </c>
      <c r="HO746" s="847" t="s">
        <v>503</v>
      </c>
      <c r="HP746" s="847" t="s">
        <v>2525</v>
      </c>
      <c r="HQ746" s="847" t="s">
        <v>2526</v>
      </c>
      <c r="HR746" s="847" t="s">
        <v>2527</v>
      </c>
      <c r="HS746" s="847" t="s">
        <v>2528</v>
      </c>
      <c r="HT746" s="847" t="s">
        <v>503</v>
      </c>
      <c r="HU746" s="847" t="s">
        <v>2525</v>
      </c>
      <c r="HV746" s="847" t="s">
        <v>2526</v>
      </c>
      <c r="HW746" s="847" t="s">
        <v>2527</v>
      </c>
      <c r="HX746" s="847" t="s">
        <v>2528</v>
      </c>
      <c r="HY746" s="847" t="s">
        <v>503</v>
      </c>
      <c r="HZ746" s="847" t="s">
        <v>2525</v>
      </c>
      <c r="IA746" s="847" t="s">
        <v>2526</v>
      </c>
      <c r="IB746" s="847" t="s">
        <v>2527</v>
      </c>
      <c r="IC746" s="847" t="s">
        <v>2528</v>
      </c>
      <c r="II746" s="109"/>
      <c r="IJ746" s="109"/>
      <c r="IK746" s="109"/>
      <c r="IL746" s="109"/>
      <c r="IM746" s="109"/>
      <c r="IN746" s="109"/>
      <c r="IO746" s="109"/>
      <c r="IP746" s="109"/>
      <c r="IQ746" s="109"/>
      <c r="IR746" s="109"/>
      <c r="IS746" s="109"/>
      <c r="IT746" s="109"/>
      <c r="IU746" s="109"/>
      <c r="IV746" s="109"/>
      <c r="IW746" s="109"/>
      <c r="IX746" s="109"/>
      <c r="IY746" s="109"/>
      <c r="IZ746" s="109"/>
      <c r="JA746" s="109"/>
      <c r="JB746" s="109"/>
      <c r="JC746" s="1536" t="s">
        <v>3664</v>
      </c>
      <c r="JD746" s="1536" t="s">
        <v>3665</v>
      </c>
      <c r="JE746" s="1536" t="s">
        <v>3666</v>
      </c>
      <c r="JF746" s="1536" t="s">
        <v>3667</v>
      </c>
      <c r="JG746" s="1536" t="s">
        <v>3668</v>
      </c>
    </row>
    <row r="747" spans="1:277" s="533" customFormat="1" ht="3" customHeight="1">
      <c r="B747" s="10"/>
      <c r="D747" s="10"/>
      <c r="P747" s="1537" t="s">
        <v>4230</v>
      </c>
      <c r="Q747" s="1538"/>
      <c r="R747" s="1157"/>
      <c r="S747" s="1157"/>
      <c r="T747" s="1157"/>
      <c r="U747" s="1157"/>
      <c r="W747" s="1334" t="s">
        <v>952</v>
      </c>
      <c r="X747" s="1334" t="s">
        <v>786</v>
      </c>
      <c r="Y747" s="1334" t="s">
        <v>787</v>
      </c>
      <c r="Z747" s="1334" t="s">
        <v>788</v>
      </c>
      <c r="AA747" s="1334" t="s">
        <v>789</v>
      </c>
      <c r="AB747" s="1334" t="s">
        <v>953</v>
      </c>
      <c r="AC747" s="1334" t="s">
        <v>2390</v>
      </c>
      <c r="AD747" s="1334" t="s">
        <v>2391</v>
      </c>
      <c r="AE747" s="1334" t="s">
        <v>2392</v>
      </c>
      <c r="AF747" s="1334" t="s">
        <v>2393</v>
      </c>
      <c r="AG747" s="1334" t="s">
        <v>954</v>
      </c>
      <c r="AH747" s="1334" t="s">
        <v>2394</v>
      </c>
      <c r="AI747" s="1334" t="s">
        <v>2395</v>
      </c>
      <c r="AJ747" s="1334" t="s">
        <v>2396</v>
      </c>
      <c r="AK747" s="1334" t="s">
        <v>2397</v>
      </c>
      <c r="AL747" s="1334" t="s">
        <v>131</v>
      </c>
      <c r="AM747" s="1334" t="s">
        <v>2398</v>
      </c>
      <c r="AN747" s="1334" t="s">
        <v>2399</v>
      </c>
      <c r="AO747" s="1334" t="s">
        <v>2400</v>
      </c>
      <c r="AP747" s="1334" t="s">
        <v>1190</v>
      </c>
      <c r="AQ747" s="1334" t="s">
        <v>575</v>
      </c>
      <c r="AR747" s="1334" t="s">
        <v>576</v>
      </c>
      <c r="AS747" s="1334" t="s">
        <v>598</v>
      </c>
      <c r="AT747" s="1334" t="s">
        <v>599</v>
      </c>
      <c r="AU747" s="1334" t="s">
        <v>600</v>
      </c>
      <c r="AV747" s="1334" t="s">
        <v>601</v>
      </c>
      <c r="AW747" s="1334" t="s">
        <v>602</v>
      </c>
      <c r="AX747" s="1334" t="s">
        <v>603</v>
      </c>
      <c r="AY747" s="1334" t="s">
        <v>604</v>
      </c>
      <c r="AZ747" s="1334" t="s">
        <v>605</v>
      </c>
      <c r="BA747" s="1334" t="s">
        <v>606</v>
      </c>
      <c r="BB747" s="1334" t="s">
        <v>607</v>
      </c>
      <c r="BC747" s="1334" t="s">
        <v>964</v>
      </c>
      <c r="BD747" s="1334" t="s">
        <v>965</v>
      </c>
      <c r="BE747" s="1334" t="s">
        <v>966</v>
      </c>
      <c r="BF747" s="1334" t="s">
        <v>514</v>
      </c>
      <c r="BG747" s="1334" t="s">
        <v>515</v>
      </c>
      <c r="BH747" s="1334" t="s">
        <v>516</v>
      </c>
      <c r="BI747" s="1334" t="s">
        <v>517</v>
      </c>
      <c r="BJ747" s="1334" t="s">
        <v>518</v>
      </c>
      <c r="BK747" s="1334" t="s">
        <v>913</v>
      </c>
      <c r="BL747" s="1334" t="s">
        <v>914</v>
      </c>
      <c r="BM747" s="1334" t="s">
        <v>915</v>
      </c>
      <c r="BN747" s="1334" t="s">
        <v>916</v>
      </c>
      <c r="BO747" s="1334" t="s">
        <v>917</v>
      </c>
      <c r="BP747" s="1334" t="s">
        <v>918</v>
      </c>
      <c r="BQ747" s="1334" t="s">
        <v>919</v>
      </c>
      <c r="BR747" s="1334" t="s">
        <v>920</v>
      </c>
      <c r="BS747" s="1334" t="s">
        <v>921</v>
      </c>
      <c r="BT747" s="1334" t="s">
        <v>922</v>
      </c>
      <c r="BU747" s="1334" t="s">
        <v>2515</v>
      </c>
      <c r="BV747" s="1334" t="s">
        <v>2516</v>
      </c>
      <c r="BW747" s="1334" t="s">
        <v>2517</v>
      </c>
      <c r="BX747" s="1334" t="s">
        <v>2518</v>
      </c>
      <c r="BY747" s="1334" t="s">
        <v>2519</v>
      </c>
      <c r="BZ747" s="1334" t="s">
        <v>119</v>
      </c>
      <c r="CA747" s="1334" t="s">
        <v>1193</v>
      </c>
      <c r="CB747" s="1334" t="s">
        <v>1194</v>
      </c>
      <c r="CC747" s="1334" t="s">
        <v>1259</v>
      </c>
      <c r="CD747" s="1334" t="s">
        <v>1260</v>
      </c>
      <c r="CE747" s="1536" t="s">
        <v>134</v>
      </c>
      <c r="CF747" s="1536" t="s">
        <v>1261</v>
      </c>
      <c r="CG747" s="1536" t="s">
        <v>1262</v>
      </c>
      <c r="CH747" s="1536" t="s">
        <v>1263</v>
      </c>
      <c r="CI747" s="1536" t="s">
        <v>1264</v>
      </c>
      <c r="CJ747" s="1536" t="s">
        <v>133</v>
      </c>
      <c r="CK747" s="1536" t="s">
        <v>944</v>
      </c>
      <c r="CL747" s="1536" t="s">
        <v>945</v>
      </c>
      <c r="CM747" s="1536" t="s">
        <v>946</v>
      </c>
      <c r="CN747" s="1536" t="s">
        <v>947</v>
      </c>
      <c r="CO747" s="1536" t="s">
        <v>132</v>
      </c>
      <c r="CP747" s="1536" t="s">
        <v>948</v>
      </c>
      <c r="CQ747" s="1536" t="s">
        <v>949</v>
      </c>
      <c r="CR747" s="1536" t="s">
        <v>950</v>
      </c>
      <c r="CS747" s="1536" t="s">
        <v>951</v>
      </c>
      <c r="CT747" s="1536" t="s">
        <v>841</v>
      </c>
      <c r="CU747" s="1536" t="s">
        <v>842</v>
      </c>
      <c r="CV747" s="1536" t="s">
        <v>843</v>
      </c>
      <c r="CW747" s="1536" t="s">
        <v>844</v>
      </c>
      <c r="CX747" s="1536" t="s">
        <v>845</v>
      </c>
      <c r="CY747" s="1536" t="s">
        <v>991</v>
      </c>
      <c r="CZ747" s="1536" t="s">
        <v>992</v>
      </c>
      <c r="DA747" s="1536" t="s">
        <v>993</v>
      </c>
      <c r="DB747" s="1536" t="s">
        <v>994</v>
      </c>
      <c r="DC747" s="1536" t="s">
        <v>2514</v>
      </c>
      <c r="DD747" s="1536" t="s">
        <v>1487</v>
      </c>
      <c r="DE747" s="1536" t="s">
        <v>1488</v>
      </c>
      <c r="DF747" s="1536" t="s">
        <v>1489</v>
      </c>
      <c r="DG747" s="1536" t="s">
        <v>1490</v>
      </c>
      <c r="DH747" s="1536" t="s">
        <v>1491</v>
      </c>
      <c r="DI747" s="1536" t="s">
        <v>451</v>
      </c>
      <c r="DJ747" s="1536" t="s">
        <v>452</v>
      </c>
      <c r="DK747" s="1536" t="s">
        <v>453</v>
      </c>
      <c r="DL747" s="1536" t="s">
        <v>454</v>
      </c>
      <c r="DM747" s="1536" t="s">
        <v>455</v>
      </c>
      <c r="DN747" s="1536" t="s">
        <v>18</v>
      </c>
      <c r="DO747" s="1536" t="s">
        <v>19</v>
      </c>
      <c r="DP747" s="1536" t="s">
        <v>20</v>
      </c>
      <c r="DQ747" s="1536" t="s">
        <v>21</v>
      </c>
      <c r="DR747" s="1536" t="s">
        <v>22</v>
      </c>
      <c r="DS747" s="1536" t="s">
        <v>231</v>
      </c>
      <c r="DT747" s="1536" t="s">
        <v>232</v>
      </c>
      <c r="DU747" s="1536" t="s">
        <v>233</v>
      </c>
      <c r="DV747" s="1536" t="s">
        <v>1879</v>
      </c>
      <c r="DW747" s="1536" t="s">
        <v>1880</v>
      </c>
      <c r="DX747" s="1536" t="s">
        <v>1881</v>
      </c>
      <c r="DY747" s="1536" t="s">
        <v>614</v>
      </c>
      <c r="DZ747" s="1536" t="s">
        <v>615</v>
      </c>
      <c r="EA747" s="1536" t="s">
        <v>616</v>
      </c>
      <c r="EB747" s="1536" t="s">
        <v>617</v>
      </c>
      <c r="EC747" s="1536" t="s">
        <v>23</v>
      </c>
      <c r="ED747" s="1536" t="s">
        <v>24</v>
      </c>
      <c r="EE747" s="1536" t="s">
        <v>25</v>
      </c>
      <c r="EF747" s="1536" t="s">
        <v>26</v>
      </c>
      <c r="EG747" s="1536" t="s">
        <v>27</v>
      </c>
      <c r="EH747" s="1536" t="s">
        <v>513</v>
      </c>
      <c r="EI747" s="1536" t="s">
        <v>447</v>
      </c>
      <c r="EJ747" s="1536" t="s">
        <v>448</v>
      </c>
      <c r="EK747" s="1536" t="s">
        <v>449</v>
      </c>
      <c r="EL747" s="1536" t="s">
        <v>450</v>
      </c>
      <c r="EM747" s="1536" t="s">
        <v>2287</v>
      </c>
      <c r="EN747" s="1536" t="s">
        <v>2288</v>
      </c>
      <c r="EO747" s="1536" t="s">
        <v>2289</v>
      </c>
      <c r="EP747" s="1536" t="s">
        <v>1536</v>
      </c>
      <c r="EQ747" s="1536" t="s">
        <v>1537</v>
      </c>
      <c r="ER747" s="1536" t="s">
        <v>28</v>
      </c>
      <c r="ES747" s="1536" t="s">
        <v>29</v>
      </c>
      <c r="ET747" s="1536" t="s">
        <v>30</v>
      </c>
      <c r="EU747" s="1536" t="s">
        <v>31</v>
      </c>
      <c r="EV747" s="1536" t="s">
        <v>32</v>
      </c>
      <c r="EW747" s="484"/>
      <c r="EX747" s="484"/>
      <c r="EY747" s="484"/>
      <c r="EZ747" s="484"/>
      <c r="FA747" s="484"/>
      <c r="FB747" s="484"/>
      <c r="FC747" s="484"/>
      <c r="FD747" s="484"/>
      <c r="FE747" s="484"/>
      <c r="FF747" s="484"/>
      <c r="FG747" s="484"/>
      <c r="FH747" s="484"/>
      <c r="FI747" s="484"/>
      <c r="FJ747" s="484"/>
      <c r="FK747" s="484"/>
      <c r="FL747" s="484"/>
      <c r="FM747" s="484"/>
      <c r="FN747" s="484"/>
      <c r="FO747" s="484"/>
      <c r="FP747" s="484"/>
      <c r="FQ747" s="484"/>
      <c r="FR747" s="484"/>
      <c r="FS747" s="484"/>
      <c r="FT747" s="484"/>
      <c r="FU747" s="484"/>
      <c r="FV747" s="484"/>
      <c r="FW747" s="484"/>
      <c r="FX747" s="484"/>
      <c r="FY747" s="484"/>
      <c r="FZ747" s="484"/>
      <c r="GA747" s="484"/>
      <c r="GB747" s="484"/>
      <c r="GC747" s="484"/>
      <c r="GD747" s="484"/>
      <c r="GE747" s="484"/>
      <c r="GF747" s="484"/>
      <c r="GG747" s="484"/>
      <c r="GH747" s="484"/>
      <c r="GI747" s="484"/>
      <c r="GJ747" s="484"/>
      <c r="GK747" s="484"/>
      <c r="GL747" s="484"/>
      <c r="GM747" s="484"/>
      <c r="GN747" s="484"/>
      <c r="GO747" s="484"/>
      <c r="GP747" s="484"/>
      <c r="GQ747" s="484"/>
      <c r="GR747" s="484"/>
      <c r="GS747" s="484"/>
      <c r="GT747" s="484"/>
      <c r="GU747" s="484"/>
      <c r="GV747" s="484"/>
      <c r="GW747" s="484"/>
      <c r="GX747" s="484"/>
      <c r="GY747" s="484"/>
      <c r="GZ747" s="484"/>
      <c r="HA747" s="484"/>
      <c r="HB747" s="484"/>
      <c r="HC747" s="484"/>
      <c r="HD747" s="484"/>
      <c r="HE747" s="484"/>
      <c r="HF747" s="484"/>
      <c r="HG747" s="484"/>
      <c r="HH747" s="484"/>
      <c r="HI747" s="484"/>
      <c r="HJ747" s="484"/>
      <c r="HK747" s="484"/>
      <c r="HL747" s="484"/>
      <c r="HM747" s="484"/>
      <c r="HN747" s="484"/>
      <c r="HO747" s="484"/>
      <c r="HP747" s="484"/>
      <c r="HQ747" s="484"/>
      <c r="HR747" s="484"/>
      <c r="HS747" s="484"/>
      <c r="ID747" s="1536" t="s">
        <v>1683</v>
      </c>
      <c r="IE747" s="1536" t="s">
        <v>2611</v>
      </c>
      <c r="IF747" s="1536" t="s">
        <v>2612</v>
      </c>
      <c r="IG747" s="1536" t="s">
        <v>400</v>
      </c>
      <c r="IH747" s="1536" t="s">
        <v>401</v>
      </c>
      <c r="II747" s="1536" t="s">
        <v>402</v>
      </c>
      <c r="IJ747" s="1536" t="s">
        <v>403</v>
      </c>
      <c r="IK747" s="1536" t="s">
        <v>404</v>
      </c>
      <c r="IL747" s="1536" t="s">
        <v>405</v>
      </c>
      <c r="IM747" s="1536" t="s">
        <v>406</v>
      </c>
      <c r="IN747" s="1536" t="s">
        <v>208</v>
      </c>
      <c r="IO747" s="1536" t="s">
        <v>209</v>
      </c>
      <c r="IP747" s="1536" t="s">
        <v>210</v>
      </c>
      <c r="IQ747" s="1536" t="s">
        <v>211</v>
      </c>
      <c r="IR747" s="1536" t="s">
        <v>212</v>
      </c>
      <c r="IS747" s="1536" t="s">
        <v>213</v>
      </c>
      <c r="IT747" s="1536" t="s">
        <v>214</v>
      </c>
      <c r="IU747" s="1536" t="s">
        <v>215</v>
      </c>
      <c r="IV747" s="1536" t="s">
        <v>216</v>
      </c>
      <c r="IW747" s="1536" t="s">
        <v>217</v>
      </c>
      <c r="IX747" s="1536" t="s">
        <v>218</v>
      </c>
      <c r="IY747" s="1536" t="s">
        <v>219</v>
      </c>
      <c r="IZ747" s="1536" t="s">
        <v>220</v>
      </c>
      <c r="JA747" s="1536" t="s">
        <v>221</v>
      </c>
      <c r="JB747" s="1536" t="s">
        <v>222</v>
      </c>
      <c r="JC747" s="1536"/>
      <c r="JD747" s="1536"/>
      <c r="JE747" s="1536"/>
      <c r="JF747" s="1536"/>
      <c r="JG747" s="1536"/>
    </row>
    <row r="748" spans="1:277" s="533" customFormat="1" ht="13.15" customHeight="1">
      <c r="A748" s="1539" t="str">
        <f>IF(A791&gt;0,"Finish Row!","")</f>
        <v/>
      </c>
      <c r="B748" s="10" t="s">
        <v>1916</v>
      </c>
      <c r="E748" s="10"/>
      <c r="H748" s="484">
        <f>'Part VI-Revenues &amp; Expenses'!G5</f>
        <v>0</v>
      </c>
      <c r="J748" s="1219" t="s">
        <v>3850</v>
      </c>
      <c r="M748" s="2" t="s">
        <v>597</v>
      </c>
      <c r="O748" s="1190" t="s">
        <v>1072</v>
      </c>
      <c r="P748" s="1537"/>
      <c r="Q748" s="1538"/>
      <c r="W748" s="1334"/>
      <c r="X748" s="1334"/>
      <c r="Y748" s="1334"/>
      <c r="Z748" s="1334"/>
      <c r="AA748" s="1334"/>
      <c r="AB748" s="1334"/>
      <c r="AC748" s="1334"/>
      <c r="AD748" s="1334"/>
      <c r="AE748" s="1334"/>
      <c r="AF748" s="1334"/>
      <c r="AG748" s="1334"/>
      <c r="AH748" s="1334"/>
      <c r="AI748" s="1334"/>
      <c r="AJ748" s="1334"/>
      <c r="AK748" s="1334"/>
      <c r="AL748" s="1334"/>
      <c r="AM748" s="1334"/>
      <c r="AN748" s="1334"/>
      <c r="AO748" s="1334"/>
      <c r="AP748" s="1334"/>
      <c r="AQ748" s="1334"/>
      <c r="AR748" s="1334"/>
      <c r="AS748" s="1334"/>
      <c r="AT748" s="1334"/>
      <c r="AU748" s="1334"/>
      <c r="AV748" s="1334"/>
      <c r="AW748" s="1334"/>
      <c r="AX748" s="1334"/>
      <c r="AY748" s="1334"/>
      <c r="AZ748" s="1334"/>
      <c r="BA748" s="1334"/>
      <c r="BB748" s="1334"/>
      <c r="BC748" s="1334"/>
      <c r="BD748" s="1334"/>
      <c r="BE748" s="1334"/>
      <c r="BF748" s="1334"/>
      <c r="BG748" s="1334"/>
      <c r="BH748" s="1334"/>
      <c r="BI748" s="1334"/>
      <c r="BJ748" s="1334"/>
      <c r="BK748" s="1334"/>
      <c r="BL748" s="1334"/>
      <c r="BM748" s="1334"/>
      <c r="BN748" s="1334"/>
      <c r="BO748" s="1334"/>
      <c r="BP748" s="1334"/>
      <c r="BQ748" s="1334"/>
      <c r="BR748" s="1334"/>
      <c r="BS748" s="1334"/>
      <c r="BT748" s="1334"/>
      <c r="BU748" s="1334"/>
      <c r="BV748" s="1334"/>
      <c r="BW748" s="1334"/>
      <c r="BX748" s="1334"/>
      <c r="BY748" s="1334"/>
      <c r="BZ748" s="1334"/>
      <c r="CA748" s="1334"/>
      <c r="CB748" s="1334"/>
      <c r="CC748" s="1334"/>
      <c r="CD748" s="1334"/>
      <c r="CE748" s="1536"/>
      <c r="CF748" s="1536"/>
      <c r="CG748" s="1536"/>
      <c r="CH748" s="1536"/>
      <c r="CI748" s="1536"/>
      <c r="CJ748" s="1536"/>
      <c r="CK748" s="1536"/>
      <c r="CL748" s="1536"/>
      <c r="CM748" s="1536"/>
      <c r="CN748" s="1536"/>
      <c r="CO748" s="1536"/>
      <c r="CP748" s="1536"/>
      <c r="CQ748" s="1536"/>
      <c r="CR748" s="1536"/>
      <c r="CS748" s="1536"/>
      <c r="CT748" s="1536"/>
      <c r="CU748" s="1536"/>
      <c r="CV748" s="1536"/>
      <c r="CW748" s="1536"/>
      <c r="CX748" s="1536"/>
      <c r="CY748" s="1536"/>
      <c r="CZ748" s="1536"/>
      <c r="DA748" s="1536"/>
      <c r="DB748" s="1536"/>
      <c r="DC748" s="1536"/>
      <c r="DD748" s="1536"/>
      <c r="DE748" s="1536"/>
      <c r="DF748" s="1536"/>
      <c r="DG748" s="1536"/>
      <c r="DH748" s="1536"/>
      <c r="DI748" s="1536"/>
      <c r="DJ748" s="1536"/>
      <c r="DK748" s="1536"/>
      <c r="DL748" s="1536"/>
      <c r="DM748" s="1536"/>
      <c r="DN748" s="1536"/>
      <c r="DO748" s="1536"/>
      <c r="DP748" s="1536"/>
      <c r="DQ748" s="1536"/>
      <c r="DR748" s="1536"/>
      <c r="DS748" s="1536"/>
      <c r="DT748" s="1536"/>
      <c r="DU748" s="1536"/>
      <c r="DV748" s="1536"/>
      <c r="DW748" s="1536"/>
      <c r="DX748" s="1536"/>
      <c r="DY748" s="1536"/>
      <c r="DZ748" s="1536"/>
      <c r="EA748" s="1536"/>
      <c r="EB748" s="1536"/>
      <c r="EC748" s="1536"/>
      <c r="ED748" s="1536"/>
      <c r="EE748" s="1536"/>
      <c r="EF748" s="1536"/>
      <c r="EG748" s="1536"/>
      <c r="EH748" s="1536"/>
      <c r="EI748" s="1536"/>
      <c r="EJ748" s="1536"/>
      <c r="EK748" s="1536"/>
      <c r="EL748" s="1536"/>
      <c r="EM748" s="1536"/>
      <c r="EN748" s="1536"/>
      <c r="EO748" s="1536"/>
      <c r="EP748" s="1536"/>
      <c r="EQ748" s="1536"/>
      <c r="ER748" s="1536"/>
      <c r="ES748" s="1536"/>
      <c r="ET748" s="1536"/>
      <c r="EU748" s="1536"/>
      <c r="EV748" s="1536"/>
      <c r="EW748" s="484"/>
      <c r="EX748" s="484"/>
      <c r="EY748" s="484"/>
      <c r="EZ748" s="484"/>
      <c r="FA748" s="484"/>
      <c r="FB748" s="484"/>
      <c r="FC748" s="484"/>
      <c r="FD748" s="484"/>
      <c r="FE748" s="484"/>
      <c r="FF748" s="484"/>
      <c r="FG748" s="484"/>
      <c r="FH748" s="484"/>
      <c r="FI748" s="484"/>
      <c r="FJ748" s="484"/>
      <c r="FK748" s="484"/>
      <c r="FL748" s="484"/>
      <c r="FM748" s="484"/>
      <c r="FN748" s="484"/>
      <c r="FO748" s="484"/>
      <c r="FP748" s="484"/>
      <c r="FQ748" s="484"/>
      <c r="FR748" s="484"/>
      <c r="FS748" s="484"/>
      <c r="FT748" s="484"/>
      <c r="FU748" s="484"/>
      <c r="FV748" s="484"/>
      <c r="FW748" s="484"/>
      <c r="FX748" s="484"/>
      <c r="FY748" s="484"/>
      <c r="FZ748" s="484"/>
      <c r="GA748" s="484"/>
      <c r="GB748" s="484"/>
      <c r="GC748" s="484"/>
      <c r="GD748" s="484"/>
      <c r="GE748" s="484"/>
      <c r="GF748" s="484"/>
      <c r="GG748" s="484"/>
      <c r="GH748" s="484"/>
      <c r="GI748" s="484"/>
      <c r="GJ748" s="484"/>
      <c r="GK748" s="484"/>
      <c r="GL748" s="484"/>
      <c r="GM748" s="484"/>
      <c r="GN748" s="484"/>
      <c r="GO748" s="484"/>
      <c r="GP748" s="484"/>
      <c r="GQ748" s="484"/>
      <c r="GR748" s="484"/>
      <c r="GS748" s="484"/>
      <c r="GT748" s="484"/>
      <c r="GU748" s="484"/>
      <c r="GV748" s="484"/>
      <c r="GW748" s="484"/>
      <c r="GX748" s="484"/>
      <c r="GY748" s="484"/>
      <c r="GZ748" s="484"/>
      <c r="HA748" s="484"/>
      <c r="HB748" s="484"/>
      <c r="HC748" s="484"/>
      <c r="HD748" s="484"/>
      <c r="HE748" s="484"/>
      <c r="HF748" s="484"/>
      <c r="HG748" s="484"/>
      <c r="HH748" s="484"/>
      <c r="HI748" s="484"/>
      <c r="HJ748" s="484"/>
      <c r="HK748" s="484"/>
      <c r="HL748" s="484"/>
      <c r="HM748" s="484"/>
      <c r="HN748" s="484"/>
      <c r="HO748" s="484"/>
      <c r="HP748" s="484"/>
      <c r="HQ748" s="484"/>
      <c r="HR748" s="484"/>
      <c r="HS748" s="484"/>
      <c r="ID748" s="1536"/>
      <c r="IE748" s="1536"/>
      <c r="IF748" s="1536"/>
      <c r="IG748" s="1536"/>
      <c r="IH748" s="1536"/>
      <c r="II748" s="1536"/>
      <c r="IJ748" s="1536"/>
      <c r="IK748" s="1536"/>
      <c r="IL748" s="1536"/>
      <c r="IM748" s="1536"/>
      <c r="IN748" s="1536"/>
      <c r="IO748" s="1536"/>
      <c r="IP748" s="1536"/>
      <c r="IQ748" s="1536"/>
      <c r="IR748" s="1536"/>
      <c r="IS748" s="1536"/>
      <c r="IT748" s="1536"/>
      <c r="IU748" s="1536"/>
      <c r="IV748" s="1536"/>
      <c r="IW748" s="1536"/>
      <c r="IX748" s="1536"/>
      <c r="IY748" s="1536"/>
      <c r="IZ748" s="1536"/>
      <c r="JA748" s="1536"/>
      <c r="JB748" s="1536"/>
      <c r="JC748" s="1536"/>
      <c r="JD748" s="1536"/>
      <c r="JE748" s="1536"/>
      <c r="JF748" s="1536"/>
      <c r="JG748" s="1536"/>
      <c r="JH748" s="1157" t="s">
        <v>3659</v>
      </c>
      <c r="JI748" s="1157" t="s">
        <v>3660</v>
      </c>
      <c r="JJ748" s="1157" t="s">
        <v>3661</v>
      </c>
      <c r="JK748" s="1157" t="s">
        <v>3662</v>
      </c>
      <c r="JL748" s="1157" t="s">
        <v>3663</v>
      </c>
      <c r="JM748" s="1536" t="s">
        <v>3673</v>
      </c>
      <c r="JN748" s="1536" t="s">
        <v>3675</v>
      </c>
      <c r="JO748" s="1536" t="s">
        <v>3676</v>
      </c>
      <c r="JP748" s="1536" t="s">
        <v>3677</v>
      </c>
      <c r="JQ748" s="1536" t="s">
        <v>3678</v>
      </c>
    </row>
    <row r="749" spans="1:277" s="533" customFormat="1" ht="13.15" customHeight="1">
      <c r="A749" s="1539"/>
      <c r="B749" s="30" t="s">
        <v>1872</v>
      </c>
      <c r="E749" s="10"/>
      <c r="F749" s="615" t="str">
        <f>'Part VI-Revenues &amp; Expenses'!F6</f>
        <v>Yes</v>
      </c>
      <c r="G749" s="1219" t="s">
        <v>4105</v>
      </c>
      <c r="H749" s="1540" t="s">
        <v>4108</v>
      </c>
      <c r="J749" s="1219" t="s">
        <v>4110</v>
      </c>
      <c r="M749" s="1541" t="str">
        <f>'Part I-Project Information'!$O$30</f>
        <v>Atlanta-Sandy Springs-Marietta</v>
      </c>
      <c r="N749" s="1541"/>
      <c r="O749" s="1542">
        <f>VLOOKUP('Part I-Project Information'!$O$30,'DCA Underwriting Assumptions'!$C$141:$D$251,2)</f>
        <v>68300</v>
      </c>
      <c r="P749" s="1537"/>
      <c r="Q749" s="1538"/>
      <c r="S749" s="10" t="s">
        <v>2802</v>
      </c>
      <c r="T749" s="10"/>
      <c r="W749" s="1334"/>
      <c r="X749" s="1334"/>
      <c r="Y749" s="1334"/>
      <c r="Z749" s="1334"/>
      <c r="AA749" s="1334"/>
      <c r="AB749" s="1334"/>
      <c r="AC749" s="1334"/>
      <c r="AD749" s="1334"/>
      <c r="AE749" s="1334"/>
      <c r="AF749" s="1334"/>
      <c r="AG749" s="1334"/>
      <c r="AH749" s="1334"/>
      <c r="AI749" s="1334"/>
      <c r="AJ749" s="1334"/>
      <c r="AK749" s="1334"/>
      <c r="AL749" s="1334"/>
      <c r="AM749" s="1334"/>
      <c r="AN749" s="1334"/>
      <c r="AO749" s="1334"/>
      <c r="AP749" s="1334"/>
      <c r="AQ749" s="1334"/>
      <c r="AR749" s="1334"/>
      <c r="AS749" s="1334"/>
      <c r="AT749" s="1334"/>
      <c r="AU749" s="1334"/>
      <c r="AV749" s="1334"/>
      <c r="AW749" s="1334"/>
      <c r="AX749" s="1334"/>
      <c r="AY749" s="1334"/>
      <c r="AZ749" s="1334"/>
      <c r="BA749" s="1334"/>
      <c r="BB749" s="1334"/>
      <c r="BC749" s="1334"/>
      <c r="BD749" s="1334"/>
      <c r="BE749" s="1334"/>
      <c r="BF749" s="1334"/>
      <c r="BG749" s="1334"/>
      <c r="BH749" s="1334"/>
      <c r="BI749" s="1334"/>
      <c r="BJ749" s="1334"/>
      <c r="BK749" s="1334"/>
      <c r="BL749" s="1334"/>
      <c r="BM749" s="1334"/>
      <c r="BN749" s="1334"/>
      <c r="BO749" s="1334"/>
      <c r="BP749" s="1334"/>
      <c r="BQ749" s="1334"/>
      <c r="BR749" s="1334"/>
      <c r="BS749" s="1334"/>
      <c r="BT749" s="1334"/>
      <c r="BU749" s="1334"/>
      <c r="BV749" s="1334"/>
      <c r="BW749" s="1334"/>
      <c r="BX749" s="1334"/>
      <c r="BY749" s="1334"/>
      <c r="BZ749" s="1334"/>
      <c r="CA749" s="1334"/>
      <c r="CB749" s="1334"/>
      <c r="CC749" s="1334"/>
      <c r="CD749" s="1334"/>
      <c r="CE749" s="1536"/>
      <c r="CF749" s="1536"/>
      <c r="CG749" s="1536"/>
      <c r="CH749" s="1536"/>
      <c r="CI749" s="1536"/>
      <c r="CJ749" s="1536"/>
      <c r="CK749" s="1536"/>
      <c r="CL749" s="1536"/>
      <c r="CM749" s="1536"/>
      <c r="CN749" s="1536"/>
      <c r="CO749" s="1536"/>
      <c r="CP749" s="1536"/>
      <c r="CQ749" s="1536"/>
      <c r="CR749" s="1536"/>
      <c r="CS749" s="1536"/>
      <c r="CT749" s="1536"/>
      <c r="CU749" s="1536"/>
      <c r="CV749" s="1536"/>
      <c r="CW749" s="1536"/>
      <c r="CX749" s="1536"/>
      <c r="CY749" s="1536"/>
      <c r="CZ749" s="1536"/>
      <c r="DA749" s="1536"/>
      <c r="DB749" s="1536"/>
      <c r="DC749" s="1536"/>
      <c r="DD749" s="1536"/>
      <c r="DE749" s="1536"/>
      <c r="DF749" s="1536"/>
      <c r="DG749" s="1536"/>
      <c r="DH749" s="1536"/>
      <c r="DI749" s="1536"/>
      <c r="DJ749" s="1536"/>
      <c r="DK749" s="1536"/>
      <c r="DL749" s="1536"/>
      <c r="DM749" s="1536"/>
      <c r="DN749" s="1536"/>
      <c r="DO749" s="1536"/>
      <c r="DP749" s="1536"/>
      <c r="DQ749" s="1536"/>
      <c r="DR749" s="1536"/>
      <c r="DS749" s="1536"/>
      <c r="DT749" s="1536"/>
      <c r="DU749" s="1536"/>
      <c r="DV749" s="1536"/>
      <c r="DW749" s="1536"/>
      <c r="DX749" s="1536"/>
      <c r="DY749" s="1536"/>
      <c r="DZ749" s="1536"/>
      <c r="EA749" s="1536"/>
      <c r="EB749" s="1536"/>
      <c r="EC749" s="1536"/>
      <c r="ED749" s="1536"/>
      <c r="EE749" s="1536"/>
      <c r="EF749" s="1536"/>
      <c r="EG749" s="1536"/>
      <c r="EH749" s="1536"/>
      <c r="EI749" s="1536"/>
      <c r="EJ749" s="1536"/>
      <c r="EK749" s="1536"/>
      <c r="EL749" s="1536"/>
      <c r="EM749" s="1536"/>
      <c r="EN749" s="1536"/>
      <c r="EO749" s="1536"/>
      <c r="EP749" s="1536"/>
      <c r="EQ749" s="1536"/>
      <c r="ER749" s="1536"/>
      <c r="ES749" s="1536"/>
      <c r="ET749" s="1536"/>
      <c r="EU749" s="1536"/>
      <c r="EV749" s="1536"/>
      <c r="EW749" s="484"/>
      <c r="EX749" s="484"/>
      <c r="EY749" s="484"/>
      <c r="EZ749" s="484"/>
      <c r="FA749" s="484"/>
      <c r="FB749" s="484"/>
      <c r="FC749" s="484"/>
      <c r="FD749" s="484"/>
      <c r="FE749" s="484"/>
      <c r="FF749" s="484"/>
      <c r="FG749" s="484"/>
      <c r="FH749" s="484"/>
      <c r="FI749" s="484"/>
      <c r="FJ749" s="484"/>
      <c r="FK749" s="484"/>
      <c r="FL749" s="484"/>
      <c r="FM749" s="484"/>
      <c r="FN749" s="484"/>
      <c r="FO749" s="484"/>
      <c r="FP749" s="484"/>
      <c r="FQ749" s="484"/>
      <c r="FR749" s="484"/>
      <c r="FS749" s="484"/>
      <c r="FT749" s="484"/>
      <c r="FU749" s="484"/>
      <c r="FV749" s="484"/>
      <c r="FW749" s="484"/>
      <c r="FX749" s="484"/>
      <c r="FY749" s="484"/>
      <c r="FZ749" s="484"/>
      <c r="GA749" s="484"/>
      <c r="GB749" s="484"/>
      <c r="GC749" s="484"/>
      <c r="GD749" s="484"/>
      <c r="GE749" s="484"/>
      <c r="GF749" s="484"/>
      <c r="GG749" s="484"/>
      <c r="GH749" s="484"/>
      <c r="GI749" s="484"/>
      <c r="GJ749" s="484"/>
      <c r="GK749" s="484"/>
      <c r="GL749" s="484"/>
      <c r="GM749" s="484"/>
      <c r="GN749" s="484"/>
      <c r="GO749" s="484"/>
      <c r="GP749" s="484"/>
      <c r="GQ749" s="484"/>
      <c r="GR749" s="484"/>
      <c r="GS749" s="484"/>
      <c r="GT749" s="484"/>
      <c r="GU749" s="484"/>
      <c r="GV749" s="484"/>
      <c r="GW749" s="484"/>
      <c r="GX749" s="484"/>
      <c r="GY749" s="484"/>
      <c r="GZ749" s="484"/>
      <c r="HA749" s="484"/>
      <c r="HB749" s="484"/>
      <c r="HC749" s="484"/>
      <c r="HD749" s="484"/>
      <c r="HE749" s="484"/>
      <c r="HF749" s="484"/>
      <c r="HG749" s="484"/>
      <c r="HH749" s="484"/>
      <c r="HI749" s="484"/>
      <c r="HJ749" s="484"/>
      <c r="HK749" s="484"/>
      <c r="HL749" s="484"/>
      <c r="HM749" s="484"/>
      <c r="HN749" s="484"/>
      <c r="HO749" s="484"/>
      <c r="HP749" s="484"/>
      <c r="HQ749" s="484"/>
      <c r="HR749" s="484"/>
      <c r="HS749" s="484"/>
      <c r="ID749" s="1536"/>
      <c r="IE749" s="1536"/>
      <c r="IF749" s="1536"/>
      <c r="IG749" s="1536"/>
      <c r="IH749" s="1536"/>
      <c r="II749" s="1536"/>
      <c r="IJ749" s="1536"/>
      <c r="IK749" s="1536"/>
      <c r="IL749" s="1536"/>
      <c r="IM749" s="1536"/>
      <c r="IN749" s="1536"/>
      <c r="IO749" s="1536"/>
      <c r="IP749" s="1536"/>
      <c r="IQ749" s="1536"/>
      <c r="IR749" s="1536"/>
      <c r="IS749" s="1536"/>
      <c r="IT749" s="1536"/>
      <c r="IU749" s="1536"/>
      <c r="IV749" s="1536"/>
      <c r="IW749" s="1536"/>
      <c r="IX749" s="1536"/>
      <c r="IY749" s="1536"/>
      <c r="IZ749" s="1536"/>
      <c r="JA749" s="1536"/>
      <c r="JB749" s="1536"/>
      <c r="JC749" s="1536"/>
      <c r="JD749" s="1536"/>
      <c r="JE749" s="1536"/>
      <c r="JF749" s="1536"/>
      <c r="JG749" s="1536"/>
      <c r="JH749" s="1157"/>
      <c r="JI749" s="1157"/>
      <c r="JJ749" s="1157"/>
      <c r="JK749" s="1157"/>
      <c r="JL749" s="1157"/>
      <c r="JM749" s="1536"/>
      <c r="JN749" s="1536"/>
      <c r="JO749" s="1536"/>
      <c r="JP749" s="1536"/>
      <c r="JQ749" s="1536"/>
    </row>
    <row r="750" spans="1:277" s="533" customFormat="1" ht="11.25" customHeight="1">
      <c r="A750" s="1539"/>
      <c r="B750" s="10"/>
      <c r="D750" s="10"/>
      <c r="G750" s="1219" t="s">
        <v>4106</v>
      </c>
      <c r="H750" s="1540"/>
      <c r="J750" s="1219" t="s">
        <v>4111</v>
      </c>
      <c r="P750" s="1537"/>
      <c r="Q750" s="1538"/>
      <c r="R750" s="1157"/>
      <c r="S750" s="1158"/>
      <c r="T750" s="1163" t="s">
        <v>2799</v>
      </c>
      <c r="U750" s="1157"/>
      <c r="W750" s="1334"/>
      <c r="X750" s="1334"/>
      <c r="Y750" s="1334"/>
      <c r="Z750" s="1334"/>
      <c r="AA750" s="1334"/>
      <c r="AB750" s="1334"/>
      <c r="AC750" s="1334"/>
      <c r="AD750" s="1334"/>
      <c r="AE750" s="1334"/>
      <c r="AF750" s="1334"/>
      <c r="AG750" s="1334"/>
      <c r="AH750" s="1334"/>
      <c r="AI750" s="1334"/>
      <c r="AJ750" s="1334"/>
      <c r="AK750" s="1334"/>
      <c r="AL750" s="1334"/>
      <c r="AM750" s="1334"/>
      <c r="AN750" s="1334"/>
      <c r="AO750" s="1334"/>
      <c r="AP750" s="1334"/>
      <c r="AQ750" s="1334"/>
      <c r="AR750" s="1334"/>
      <c r="AS750" s="1334"/>
      <c r="AT750" s="1334"/>
      <c r="AU750" s="1334"/>
      <c r="AV750" s="1334"/>
      <c r="AW750" s="1334"/>
      <c r="AX750" s="1334"/>
      <c r="AY750" s="1334"/>
      <c r="AZ750" s="1334"/>
      <c r="BA750" s="1334"/>
      <c r="BB750" s="1334"/>
      <c r="BC750" s="1334"/>
      <c r="BD750" s="1334"/>
      <c r="BE750" s="1334"/>
      <c r="BF750" s="1334"/>
      <c r="BG750" s="1334"/>
      <c r="BH750" s="1334"/>
      <c r="BI750" s="1334"/>
      <c r="BJ750" s="1334"/>
      <c r="BK750" s="1334"/>
      <c r="BL750" s="1334"/>
      <c r="BM750" s="1334"/>
      <c r="BN750" s="1334"/>
      <c r="BO750" s="1334"/>
      <c r="BP750" s="1334"/>
      <c r="BQ750" s="1334"/>
      <c r="BR750" s="1334"/>
      <c r="BS750" s="1334"/>
      <c r="BT750" s="1334"/>
      <c r="BU750" s="1334"/>
      <c r="BV750" s="1334"/>
      <c r="BW750" s="1334"/>
      <c r="BX750" s="1334"/>
      <c r="BY750" s="1334"/>
      <c r="BZ750" s="1334"/>
      <c r="CA750" s="1334"/>
      <c r="CB750" s="1334"/>
      <c r="CC750" s="1334"/>
      <c r="CD750" s="1334"/>
      <c r="CE750" s="1536"/>
      <c r="CF750" s="1536"/>
      <c r="CG750" s="1536"/>
      <c r="CH750" s="1536"/>
      <c r="CI750" s="1536"/>
      <c r="CJ750" s="1536"/>
      <c r="CK750" s="1536"/>
      <c r="CL750" s="1536"/>
      <c r="CM750" s="1536"/>
      <c r="CN750" s="1536"/>
      <c r="CO750" s="1536"/>
      <c r="CP750" s="1536"/>
      <c r="CQ750" s="1536"/>
      <c r="CR750" s="1536"/>
      <c r="CS750" s="1536"/>
      <c r="CT750" s="1536"/>
      <c r="CU750" s="1536"/>
      <c r="CV750" s="1536"/>
      <c r="CW750" s="1536"/>
      <c r="CX750" s="1536"/>
      <c r="CY750" s="1536"/>
      <c r="CZ750" s="1536"/>
      <c r="DA750" s="1536"/>
      <c r="DB750" s="1536"/>
      <c r="DC750" s="1536"/>
      <c r="DD750" s="1536"/>
      <c r="DE750" s="1536"/>
      <c r="DF750" s="1536"/>
      <c r="DG750" s="1536"/>
      <c r="DH750" s="1536"/>
      <c r="DI750" s="1536"/>
      <c r="DJ750" s="1536"/>
      <c r="DK750" s="1536"/>
      <c r="DL750" s="1536"/>
      <c r="DM750" s="1536"/>
      <c r="DN750" s="1536"/>
      <c r="DO750" s="1536"/>
      <c r="DP750" s="1536"/>
      <c r="DQ750" s="1536"/>
      <c r="DR750" s="1536"/>
      <c r="DS750" s="1536"/>
      <c r="DT750" s="1536"/>
      <c r="DU750" s="1536"/>
      <c r="DV750" s="1536"/>
      <c r="DW750" s="1536"/>
      <c r="DX750" s="1536"/>
      <c r="DY750" s="1536"/>
      <c r="DZ750" s="1536"/>
      <c r="EA750" s="1536"/>
      <c r="EB750" s="1536"/>
      <c r="EC750" s="1536"/>
      <c r="ED750" s="1536"/>
      <c r="EE750" s="1536"/>
      <c r="EF750" s="1536"/>
      <c r="EG750" s="1536"/>
      <c r="EH750" s="1536"/>
      <c r="EI750" s="1536"/>
      <c r="EJ750" s="1536"/>
      <c r="EK750" s="1536"/>
      <c r="EL750" s="1536"/>
      <c r="EM750" s="1536"/>
      <c r="EN750" s="1536"/>
      <c r="EO750" s="1536"/>
      <c r="EP750" s="1536"/>
      <c r="EQ750" s="1536"/>
      <c r="ER750" s="1536"/>
      <c r="ES750" s="1536"/>
      <c r="ET750" s="1536"/>
      <c r="EU750" s="1536"/>
      <c r="EV750" s="1536"/>
      <c r="EW750" s="484"/>
      <c r="EX750" s="484"/>
      <c r="EY750" s="484"/>
      <c r="EZ750" s="484"/>
      <c r="FA750" s="484"/>
      <c r="FB750" s="484"/>
      <c r="FC750" s="484"/>
      <c r="FD750" s="484"/>
      <c r="FE750" s="484"/>
      <c r="FF750" s="484"/>
      <c r="FG750" s="484"/>
      <c r="FH750" s="484"/>
      <c r="FI750" s="484"/>
      <c r="FJ750" s="484"/>
      <c r="FK750" s="484"/>
      <c r="FL750" s="484"/>
      <c r="FM750" s="484"/>
      <c r="FN750" s="484"/>
      <c r="FO750" s="484"/>
      <c r="FP750" s="484"/>
      <c r="FQ750" s="484"/>
      <c r="FR750" s="484"/>
      <c r="FS750" s="484"/>
      <c r="FT750" s="484"/>
      <c r="FU750" s="484"/>
      <c r="FV750" s="615"/>
      <c r="FW750" s="615"/>
      <c r="FX750" s="615"/>
      <c r="FY750" s="615"/>
      <c r="FZ750" s="615"/>
      <c r="GA750" s="615"/>
      <c r="GB750" s="615"/>
      <c r="GC750" s="615"/>
      <c r="GD750" s="615"/>
      <c r="GE750" s="615"/>
      <c r="GF750" s="615"/>
      <c r="GG750" s="615"/>
      <c r="GH750" s="615"/>
      <c r="GI750" s="615"/>
      <c r="GJ750" s="615"/>
      <c r="GK750" s="615"/>
      <c r="GL750" s="615"/>
      <c r="GM750" s="615"/>
      <c r="GN750" s="615"/>
      <c r="GO750" s="615"/>
      <c r="GP750" s="615"/>
      <c r="GQ750" s="615"/>
      <c r="GR750" s="615"/>
      <c r="GS750" s="615"/>
      <c r="GT750" s="615"/>
      <c r="GU750" s="615"/>
      <c r="GV750" s="615"/>
      <c r="GW750" s="615"/>
      <c r="GX750" s="615"/>
      <c r="GY750" s="615"/>
      <c r="GZ750" s="615"/>
      <c r="HA750" s="615"/>
      <c r="HB750" s="615"/>
      <c r="HC750" s="615"/>
      <c r="HD750" s="615"/>
      <c r="HE750" s="615"/>
      <c r="HF750" s="615"/>
      <c r="HG750" s="615"/>
      <c r="HH750" s="615"/>
      <c r="HI750" s="615"/>
      <c r="HJ750" s="615"/>
      <c r="HK750" s="615"/>
      <c r="HL750" s="615"/>
      <c r="HM750" s="615"/>
      <c r="HN750" s="615"/>
      <c r="HO750" s="615"/>
      <c r="HP750" s="615"/>
      <c r="HQ750" s="615"/>
      <c r="HR750" s="615"/>
      <c r="HS750" s="615"/>
      <c r="HT750" s="615"/>
      <c r="HU750" s="615"/>
      <c r="HV750" s="615"/>
      <c r="HW750" s="615"/>
      <c r="HX750" s="615"/>
      <c r="HY750" s="615"/>
      <c r="HZ750" s="615"/>
      <c r="IA750" s="615"/>
      <c r="IB750" s="615"/>
      <c r="IC750" s="615"/>
      <c r="ID750" s="1536"/>
      <c r="IE750" s="1536"/>
      <c r="IF750" s="1536"/>
      <c r="IG750" s="1536"/>
      <c r="IH750" s="1536"/>
      <c r="II750" s="1536"/>
      <c r="IJ750" s="1536"/>
      <c r="IK750" s="1536"/>
      <c r="IL750" s="1536"/>
      <c r="IM750" s="1536"/>
      <c r="IN750" s="1536"/>
      <c r="IO750" s="1536"/>
      <c r="IP750" s="1536"/>
      <c r="IQ750" s="1536"/>
      <c r="IR750" s="1536"/>
      <c r="IS750" s="1536"/>
      <c r="IT750" s="1536"/>
      <c r="IU750" s="1536"/>
      <c r="IV750" s="1536"/>
      <c r="IW750" s="1536"/>
      <c r="IX750" s="1536"/>
      <c r="IY750" s="1536"/>
      <c r="IZ750" s="1536"/>
      <c r="JA750" s="1536"/>
      <c r="JB750" s="1536"/>
      <c r="JC750" s="1536"/>
      <c r="JD750" s="1536"/>
      <c r="JE750" s="1536"/>
      <c r="JF750" s="1536"/>
      <c r="JG750" s="1536"/>
      <c r="JH750" s="1157"/>
      <c r="JI750" s="1157"/>
      <c r="JJ750" s="1157"/>
      <c r="JK750" s="1157"/>
      <c r="JL750" s="1157"/>
      <c r="JM750" s="1536"/>
      <c r="JN750" s="1536"/>
      <c r="JO750" s="1536"/>
      <c r="JP750" s="1536"/>
      <c r="JQ750" s="1536"/>
    </row>
    <row r="751" spans="1:277" s="1535" customFormat="1" ht="11.25" customHeight="1">
      <c r="A751" s="1539"/>
      <c r="B751" s="1543" t="s">
        <v>1535</v>
      </c>
      <c r="C751" s="1219" t="s">
        <v>177</v>
      </c>
      <c r="D751" s="1219" t="s">
        <v>564</v>
      </c>
      <c r="E751" s="1219" t="s">
        <v>1533</v>
      </c>
      <c r="F751" s="1219" t="s">
        <v>1533</v>
      </c>
      <c r="G751" s="1219" t="s">
        <v>1535</v>
      </c>
      <c r="H751" s="1219" t="s">
        <v>4106</v>
      </c>
      <c r="I751" s="1219" t="s">
        <v>830</v>
      </c>
      <c r="J751" s="1219" t="s">
        <v>4231</v>
      </c>
      <c r="K751" s="1159" t="s">
        <v>147</v>
      </c>
      <c r="L751" s="1159"/>
      <c r="M751" s="1219" t="s">
        <v>2450</v>
      </c>
      <c r="N751" s="1219" t="s">
        <v>551</v>
      </c>
      <c r="O751" s="1219" t="s">
        <v>397</v>
      </c>
      <c r="P751" s="1537"/>
      <c r="Q751" s="1159" t="s">
        <v>3861</v>
      </c>
      <c r="R751" s="1159"/>
      <c r="S751" s="1219" t="s">
        <v>2798</v>
      </c>
      <c r="T751" s="1219" t="s">
        <v>2800</v>
      </c>
      <c r="U751" s="1219"/>
      <c r="W751" s="1334"/>
      <c r="X751" s="1334"/>
      <c r="Y751" s="1334"/>
      <c r="Z751" s="1334"/>
      <c r="AA751" s="1334"/>
      <c r="AB751" s="1334"/>
      <c r="AC751" s="1334"/>
      <c r="AD751" s="1334"/>
      <c r="AE751" s="1334"/>
      <c r="AF751" s="1334"/>
      <c r="AG751" s="1334"/>
      <c r="AH751" s="1334"/>
      <c r="AI751" s="1334"/>
      <c r="AJ751" s="1334"/>
      <c r="AK751" s="1334"/>
      <c r="AL751" s="1334"/>
      <c r="AM751" s="1334"/>
      <c r="AN751" s="1334"/>
      <c r="AO751" s="1334"/>
      <c r="AP751" s="1334"/>
      <c r="AQ751" s="1334"/>
      <c r="AR751" s="1334"/>
      <c r="AS751" s="1334"/>
      <c r="AT751" s="1334"/>
      <c r="AU751" s="1334"/>
      <c r="AV751" s="1334"/>
      <c r="AW751" s="1334"/>
      <c r="AX751" s="1334"/>
      <c r="AY751" s="1334"/>
      <c r="AZ751" s="1334"/>
      <c r="BA751" s="1334"/>
      <c r="BB751" s="1334"/>
      <c r="BC751" s="1334"/>
      <c r="BD751" s="1334"/>
      <c r="BE751" s="1334"/>
      <c r="BF751" s="1334"/>
      <c r="BG751" s="1334"/>
      <c r="BH751" s="1334"/>
      <c r="BI751" s="1334"/>
      <c r="BJ751" s="1334"/>
      <c r="BK751" s="1334"/>
      <c r="BL751" s="1334"/>
      <c r="BM751" s="1334"/>
      <c r="BN751" s="1334"/>
      <c r="BO751" s="1334"/>
      <c r="BP751" s="1334"/>
      <c r="BQ751" s="1334"/>
      <c r="BR751" s="1334"/>
      <c r="BS751" s="1334"/>
      <c r="BT751" s="1334"/>
      <c r="BU751" s="1334"/>
      <c r="BV751" s="1334"/>
      <c r="BW751" s="1334"/>
      <c r="BX751" s="1334"/>
      <c r="BY751" s="1334"/>
      <c r="BZ751" s="1334"/>
      <c r="CA751" s="1334"/>
      <c r="CB751" s="1334"/>
      <c r="CC751" s="1334"/>
      <c r="CD751" s="1334"/>
      <c r="CE751" s="1536"/>
      <c r="CF751" s="1536"/>
      <c r="CG751" s="1536"/>
      <c r="CH751" s="1536"/>
      <c r="CI751" s="1536"/>
      <c r="CJ751" s="1536"/>
      <c r="CK751" s="1536"/>
      <c r="CL751" s="1536"/>
      <c r="CM751" s="1536"/>
      <c r="CN751" s="1536"/>
      <c r="CO751" s="1536"/>
      <c r="CP751" s="1536"/>
      <c r="CQ751" s="1536"/>
      <c r="CR751" s="1536"/>
      <c r="CS751" s="1536"/>
      <c r="CT751" s="1536"/>
      <c r="CU751" s="1536"/>
      <c r="CV751" s="1536"/>
      <c r="CW751" s="1536"/>
      <c r="CX751" s="1536"/>
      <c r="CY751" s="1536"/>
      <c r="CZ751" s="1536"/>
      <c r="DA751" s="1536"/>
      <c r="DB751" s="1536"/>
      <c r="DC751" s="1536"/>
      <c r="DD751" s="1536"/>
      <c r="DE751" s="1536"/>
      <c r="DF751" s="1536"/>
      <c r="DG751" s="1536"/>
      <c r="DH751" s="1536"/>
      <c r="DI751" s="1536"/>
      <c r="DJ751" s="1536"/>
      <c r="DK751" s="1536"/>
      <c r="DL751" s="1536"/>
      <c r="DM751" s="1536"/>
      <c r="DN751" s="1536"/>
      <c r="DO751" s="1536"/>
      <c r="DP751" s="1536"/>
      <c r="DQ751" s="1536"/>
      <c r="DR751" s="1536"/>
      <c r="DS751" s="1536"/>
      <c r="DT751" s="1536"/>
      <c r="DU751" s="1536"/>
      <c r="DV751" s="1536"/>
      <c r="DW751" s="1536"/>
      <c r="DX751" s="1536"/>
      <c r="DY751" s="1536"/>
      <c r="DZ751" s="1536"/>
      <c r="EA751" s="1536"/>
      <c r="EB751" s="1536"/>
      <c r="EC751" s="1536"/>
      <c r="ED751" s="1536"/>
      <c r="EE751" s="1536"/>
      <c r="EF751" s="1536"/>
      <c r="EG751" s="1536"/>
      <c r="EH751" s="1536"/>
      <c r="EI751" s="1536"/>
      <c r="EJ751" s="1536"/>
      <c r="EK751" s="1536"/>
      <c r="EL751" s="1536"/>
      <c r="EM751" s="1536"/>
      <c r="EN751" s="1536"/>
      <c r="EO751" s="1536"/>
      <c r="EP751" s="1536"/>
      <c r="EQ751" s="1536"/>
      <c r="ER751" s="1536"/>
      <c r="ES751" s="1536"/>
      <c r="ET751" s="1536"/>
      <c r="EU751" s="1536"/>
      <c r="EV751" s="1536"/>
      <c r="EW751" s="1536" t="s">
        <v>1518</v>
      </c>
      <c r="EX751" s="615" t="s">
        <v>2525</v>
      </c>
      <c r="EY751" s="615" t="s">
        <v>2526</v>
      </c>
      <c r="EZ751" s="615" t="s">
        <v>2527</v>
      </c>
      <c r="FA751" s="615" t="s">
        <v>2528</v>
      </c>
      <c r="FB751" s="1536" t="s">
        <v>2583</v>
      </c>
      <c r="FC751" s="1536" t="s">
        <v>2583</v>
      </c>
      <c r="FD751" s="1536" t="s">
        <v>2583</v>
      </c>
      <c r="FE751" s="1536" t="s">
        <v>2583</v>
      </c>
      <c r="FF751" s="1536" t="s">
        <v>2583</v>
      </c>
      <c r="FG751" s="1536" t="s">
        <v>3555</v>
      </c>
      <c r="FH751" s="1536" t="s">
        <v>3555</v>
      </c>
      <c r="FI751" s="1536" t="s">
        <v>3555</v>
      </c>
      <c r="FJ751" s="1536" t="s">
        <v>3555</v>
      </c>
      <c r="FK751" s="1536" t="s">
        <v>3555</v>
      </c>
      <c r="FL751" s="615" t="s">
        <v>587</v>
      </c>
      <c r="FM751" s="615" t="s">
        <v>2525</v>
      </c>
      <c r="FN751" s="615" t="s">
        <v>2526</v>
      </c>
      <c r="FO751" s="615" t="s">
        <v>2527</v>
      </c>
      <c r="FP751" s="615" t="s">
        <v>2528</v>
      </c>
      <c r="FQ751" s="615" t="s">
        <v>587</v>
      </c>
      <c r="FR751" s="615" t="s">
        <v>2525</v>
      </c>
      <c r="FS751" s="615" t="s">
        <v>2526</v>
      </c>
      <c r="FT751" s="615" t="s">
        <v>2527</v>
      </c>
      <c r="FU751" s="615" t="s">
        <v>2528</v>
      </c>
      <c r="FV751" s="1536" t="s">
        <v>2585</v>
      </c>
      <c r="FW751" s="1536" t="s">
        <v>2585</v>
      </c>
      <c r="FX751" s="1536" t="s">
        <v>2585</v>
      </c>
      <c r="FY751" s="1536" t="s">
        <v>2585</v>
      </c>
      <c r="FZ751" s="1536" t="s">
        <v>2585</v>
      </c>
      <c r="GA751" s="1536" t="s">
        <v>3551</v>
      </c>
      <c r="GB751" s="1536" t="s">
        <v>3551</v>
      </c>
      <c r="GC751" s="1536" t="s">
        <v>3551</v>
      </c>
      <c r="GD751" s="1536" t="s">
        <v>3551</v>
      </c>
      <c r="GE751" s="1536" t="s">
        <v>3551</v>
      </c>
      <c r="GF751" s="1536" t="s">
        <v>372</v>
      </c>
      <c r="GG751" s="1536" t="s">
        <v>372</v>
      </c>
      <c r="GH751" s="1536" t="s">
        <v>372</v>
      </c>
      <c r="GI751" s="1536" t="s">
        <v>372</v>
      </c>
      <c r="GJ751" s="1536" t="s">
        <v>372</v>
      </c>
      <c r="GK751" s="1536" t="s">
        <v>3550</v>
      </c>
      <c r="GL751" s="1536" t="s">
        <v>3550</v>
      </c>
      <c r="GM751" s="1536" t="s">
        <v>3550</v>
      </c>
      <c r="GN751" s="1536" t="s">
        <v>3550</v>
      </c>
      <c r="GO751" s="1536" t="s">
        <v>3550</v>
      </c>
      <c r="GP751" s="1536" t="s">
        <v>373</v>
      </c>
      <c r="GQ751" s="1536" t="s">
        <v>373</v>
      </c>
      <c r="GR751" s="1536" t="s">
        <v>373</v>
      </c>
      <c r="GS751" s="1536" t="s">
        <v>373</v>
      </c>
      <c r="GT751" s="1536" t="s">
        <v>373</v>
      </c>
      <c r="GU751" s="1536" t="s">
        <v>3549</v>
      </c>
      <c r="GV751" s="1536" t="s">
        <v>3549</v>
      </c>
      <c r="GW751" s="1536" t="s">
        <v>3549</v>
      </c>
      <c r="GX751" s="1536" t="s">
        <v>3549</v>
      </c>
      <c r="GY751" s="1536" t="s">
        <v>3549</v>
      </c>
      <c r="GZ751" s="1536" t="s">
        <v>374</v>
      </c>
      <c r="HA751" s="1536" t="s">
        <v>374</v>
      </c>
      <c r="HB751" s="1536" t="s">
        <v>374</v>
      </c>
      <c r="HC751" s="1536" t="s">
        <v>374</v>
      </c>
      <c r="HD751" s="1536" t="s">
        <v>374</v>
      </c>
      <c r="HE751" s="1536" t="s">
        <v>3552</v>
      </c>
      <c r="HF751" s="1536" t="s">
        <v>3552</v>
      </c>
      <c r="HG751" s="1536" t="s">
        <v>3552</v>
      </c>
      <c r="HH751" s="1536" t="s">
        <v>3552</v>
      </c>
      <c r="HI751" s="1536" t="s">
        <v>3552</v>
      </c>
      <c r="HJ751" s="1536" t="s">
        <v>375</v>
      </c>
      <c r="HK751" s="1536" t="s">
        <v>375</v>
      </c>
      <c r="HL751" s="1536" t="s">
        <v>375</v>
      </c>
      <c r="HM751" s="1536" t="s">
        <v>375</v>
      </c>
      <c r="HN751" s="1536" t="s">
        <v>375</v>
      </c>
      <c r="HO751" s="1536" t="s">
        <v>3553</v>
      </c>
      <c r="HP751" s="1536" t="s">
        <v>3553</v>
      </c>
      <c r="HQ751" s="1536" t="s">
        <v>3553</v>
      </c>
      <c r="HR751" s="1536" t="s">
        <v>3553</v>
      </c>
      <c r="HS751" s="1536" t="s">
        <v>3553</v>
      </c>
      <c r="HT751" s="1536" t="s">
        <v>1517</v>
      </c>
      <c r="HU751" s="1536" t="s">
        <v>1517</v>
      </c>
      <c r="HV751" s="1536" t="s">
        <v>1517</v>
      </c>
      <c r="HW751" s="1536" t="s">
        <v>1517</v>
      </c>
      <c r="HX751" s="1536" t="s">
        <v>1517</v>
      </c>
      <c r="HY751" s="1536" t="s">
        <v>3554</v>
      </c>
      <c r="HZ751" s="1536" t="s">
        <v>3554</v>
      </c>
      <c r="IA751" s="1536" t="s">
        <v>3554</v>
      </c>
      <c r="IB751" s="1536" t="s">
        <v>3554</v>
      </c>
      <c r="IC751" s="1536" t="s">
        <v>3554</v>
      </c>
      <c r="ID751" s="1536"/>
      <c r="IE751" s="1536"/>
      <c r="IF751" s="1536"/>
      <c r="IG751" s="1536"/>
      <c r="IH751" s="1536"/>
      <c r="II751" s="1536"/>
      <c r="IJ751" s="1536"/>
      <c r="IK751" s="1536"/>
      <c r="IL751" s="1536"/>
      <c r="IM751" s="1536"/>
      <c r="IN751" s="1536"/>
      <c r="IO751" s="1536"/>
      <c r="IP751" s="1536"/>
      <c r="IQ751" s="1536"/>
      <c r="IR751" s="1536"/>
      <c r="IS751" s="1536"/>
      <c r="IT751" s="1536"/>
      <c r="IU751" s="1536"/>
      <c r="IV751" s="1536"/>
      <c r="IW751" s="1536"/>
      <c r="IX751" s="1536"/>
      <c r="IY751" s="1536"/>
      <c r="IZ751" s="1536"/>
      <c r="JA751" s="1536"/>
      <c r="JB751" s="1536"/>
      <c r="JC751" s="1536"/>
      <c r="JD751" s="1536"/>
      <c r="JE751" s="1536"/>
      <c r="JF751" s="1536"/>
      <c r="JG751" s="1536"/>
      <c r="JH751" s="1157"/>
      <c r="JI751" s="1157"/>
      <c r="JJ751" s="1157"/>
      <c r="JK751" s="1157"/>
      <c r="JL751" s="1157"/>
      <c r="JM751" s="1536"/>
      <c r="JN751" s="1536"/>
      <c r="JO751" s="1536"/>
      <c r="JP751" s="1536"/>
      <c r="JQ751" s="1536"/>
    </row>
    <row r="752" spans="1:277" s="1535" customFormat="1" ht="11.25" customHeight="1">
      <c r="A752" s="1539"/>
      <c r="B752" s="1543" t="s">
        <v>1345</v>
      </c>
      <c r="C752" s="1219" t="s">
        <v>176</v>
      </c>
      <c r="D752" s="1219" t="s">
        <v>178</v>
      </c>
      <c r="E752" s="1219" t="s">
        <v>1534</v>
      </c>
      <c r="F752" s="1219" t="s">
        <v>1326</v>
      </c>
      <c r="G752" s="1219" t="s">
        <v>4107</v>
      </c>
      <c r="H752" s="1219" t="s">
        <v>1535</v>
      </c>
      <c r="I752" s="1219" t="s">
        <v>831</v>
      </c>
      <c r="J752" s="1544" t="s">
        <v>363</v>
      </c>
      <c r="K752" s="1219" t="s">
        <v>1587</v>
      </c>
      <c r="L752" s="1219" t="s">
        <v>558</v>
      </c>
      <c r="M752" s="1219" t="s">
        <v>1533</v>
      </c>
      <c r="N752" s="1219" t="s">
        <v>3499</v>
      </c>
      <c r="O752" s="1219" t="s">
        <v>398</v>
      </c>
      <c r="P752" s="1537"/>
      <c r="Q752" s="1219" t="s">
        <v>3862</v>
      </c>
      <c r="R752" s="1219" t="s">
        <v>1077</v>
      </c>
      <c r="S752" s="1219" t="s">
        <v>1535</v>
      </c>
      <c r="T752" s="1219" t="s">
        <v>2801</v>
      </c>
      <c r="U752" s="1532" t="s">
        <v>1915</v>
      </c>
      <c r="V752" s="1532"/>
      <c r="W752" s="1334"/>
      <c r="X752" s="1334"/>
      <c r="Y752" s="1334"/>
      <c r="Z752" s="1334"/>
      <c r="AA752" s="1334"/>
      <c r="AB752" s="1334"/>
      <c r="AC752" s="1334"/>
      <c r="AD752" s="1334"/>
      <c r="AE752" s="1334"/>
      <c r="AF752" s="1334"/>
      <c r="AG752" s="1334"/>
      <c r="AH752" s="1334"/>
      <c r="AI752" s="1334"/>
      <c r="AJ752" s="1334"/>
      <c r="AK752" s="1334"/>
      <c r="AL752" s="1334"/>
      <c r="AM752" s="1334"/>
      <c r="AN752" s="1334"/>
      <c r="AO752" s="1334"/>
      <c r="AP752" s="1334"/>
      <c r="AQ752" s="1334"/>
      <c r="AR752" s="1334"/>
      <c r="AS752" s="1334"/>
      <c r="AT752" s="1334"/>
      <c r="AU752" s="1334"/>
      <c r="AV752" s="1334"/>
      <c r="AW752" s="1334"/>
      <c r="AX752" s="1334"/>
      <c r="AY752" s="1334"/>
      <c r="AZ752" s="1334"/>
      <c r="BA752" s="1334"/>
      <c r="BB752" s="1334"/>
      <c r="BC752" s="1334"/>
      <c r="BD752" s="1334"/>
      <c r="BE752" s="1334"/>
      <c r="BF752" s="1334"/>
      <c r="BG752" s="1334"/>
      <c r="BH752" s="1334"/>
      <c r="BI752" s="1334"/>
      <c r="BJ752" s="1334"/>
      <c r="BK752" s="1334"/>
      <c r="BL752" s="1334"/>
      <c r="BM752" s="1334"/>
      <c r="BN752" s="1334"/>
      <c r="BO752" s="1334"/>
      <c r="BP752" s="1334"/>
      <c r="BQ752" s="1334"/>
      <c r="BR752" s="1334"/>
      <c r="BS752" s="1334"/>
      <c r="BT752" s="1334"/>
      <c r="BU752" s="1334"/>
      <c r="BV752" s="1334"/>
      <c r="BW752" s="1334"/>
      <c r="BX752" s="1334"/>
      <c r="BY752" s="1334"/>
      <c r="BZ752" s="1334"/>
      <c r="CA752" s="1334"/>
      <c r="CB752" s="1334"/>
      <c r="CC752" s="1334"/>
      <c r="CD752" s="1334"/>
      <c r="CE752" s="1536"/>
      <c r="CF752" s="1536"/>
      <c r="CG752" s="1536"/>
      <c r="CH752" s="1536"/>
      <c r="CI752" s="1536"/>
      <c r="CJ752" s="1536"/>
      <c r="CK752" s="1536"/>
      <c r="CL752" s="1536"/>
      <c r="CM752" s="1536"/>
      <c r="CN752" s="1536"/>
      <c r="CO752" s="1536"/>
      <c r="CP752" s="1536"/>
      <c r="CQ752" s="1536"/>
      <c r="CR752" s="1536"/>
      <c r="CS752" s="1536"/>
      <c r="CT752" s="1536"/>
      <c r="CU752" s="1536"/>
      <c r="CV752" s="1536"/>
      <c r="CW752" s="1536"/>
      <c r="CX752" s="1536"/>
      <c r="CY752" s="1536"/>
      <c r="CZ752" s="1536"/>
      <c r="DA752" s="1536"/>
      <c r="DB752" s="1536"/>
      <c r="DC752" s="1536"/>
      <c r="DD752" s="1536"/>
      <c r="DE752" s="1536"/>
      <c r="DF752" s="1536"/>
      <c r="DG752" s="1536"/>
      <c r="DH752" s="1536"/>
      <c r="DI752" s="1536"/>
      <c r="DJ752" s="1536"/>
      <c r="DK752" s="1536"/>
      <c r="DL752" s="1536"/>
      <c r="DM752" s="1536"/>
      <c r="DN752" s="1536"/>
      <c r="DO752" s="1536"/>
      <c r="DP752" s="1536"/>
      <c r="DQ752" s="1536"/>
      <c r="DR752" s="1536"/>
      <c r="DS752" s="1536"/>
      <c r="DT752" s="1536"/>
      <c r="DU752" s="1536"/>
      <c r="DV752" s="1536"/>
      <c r="DW752" s="1536"/>
      <c r="DX752" s="1536"/>
      <c r="DY752" s="1536"/>
      <c r="DZ752" s="1536"/>
      <c r="EA752" s="1536"/>
      <c r="EB752" s="1536"/>
      <c r="EC752" s="1536"/>
      <c r="ED752" s="1536"/>
      <c r="EE752" s="1536"/>
      <c r="EF752" s="1536"/>
      <c r="EG752" s="1536"/>
      <c r="EH752" s="1536"/>
      <c r="EI752" s="1536"/>
      <c r="EJ752" s="1536"/>
      <c r="EK752" s="1536"/>
      <c r="EL752" s="1536"/>
      <c r="EM752" s="1536"/>
      <c r="EN752" s="1536"/>
      <c r="EO752" s="1536"/>
      <c r="EP752" s="1536"/>
      <c r="EQ752" s="1536"/>
      <c r="ER752" s="1536"/>
      <c r="ES752" s="1536"/>
      <c r="ET752" s="1536"/>
      <c r="EU752" s="1536"/>
      <c r="EV752" s="1536"/>
      <c r="EW752" s="1536"/>
      <c r="EX752" s="615" t="s">
        <v>2582</v>
      </c>
      <c r="EY752" s="615" t="s">
        <v>2582</v>
      </c>
      <c r="EZ752" s="615" t="s">
        <v>2582</v>
      </c>
      <c r="FA752" s="615" t="s">
        <v>2582</v>
      </c>
      <c r="FB752" s="1536"/>
      <c r="FC752" s="1536"/>
      <c r="FD752" s="1536"/>
      <c r="FE752" s="1536"/>
      <c r="FF752" s="1536"/>
      <c r="FG752" s="1536"/>
      <c r="FH752" s="1536"/>
      <c r="FI752" s="1536"/>
      <c r="FJ752" s="1536"/>
      <c r="FK752" s="1536"/>
      <c r="FL752" s="615" t="s">
        <v>2584</v>
      </c>
      <c r="FM752" s="615" t="s">
        <v>2584</v>
      </c>
      <c r="FN752" s="615" t="s">
        <v>2584</v>
      </c>
      <c r="FO752" s="615" t="s">
        <v>2584</v>
      </c>
      <c r="FP752" s="615" t="s">
        <v>2584</v>
      </c>
      <c r="FQ752" s="615" t="s">
        <v>3556</v>
      </c>
      <c r="FR752" s="615" t="s">
        <v>3556</v>
      </c>
      <c r="FS752" s="615" t="s">
        <v>3556</v>
      </c>
      <c r="FT752" s="615" t="s">
        <v>3556</v>
      </c>
      <c r="FU752" s="615" t="s">
        <v>3556</v>
      </c>
      <c r="FV752" s="1536"/>
      <c r="FW752" s="1536"/>
      <c r="FX752" s="1536"/>
      <c r="FY752" s="1536"/>
      <c r="FZ752" s="1536"/>
      <c r="GA752" s="1536"/>
      <c r="GB752" s="1536"/>
      <c r="GC752" s="1536"/>
      <c r="GD752" s="1536"/>
      <c r="GE752" s="1536"/>
      <c r="GF752" s="1536"/>
      <c r="GG752" s="1536"/>
      <c r="GH752" s="1536"/>
      <c r="GI752" s="1536"/>
      <c r="GJ752" s="1536"/>
      <c r="GK752" s="1536"/>
      <c r="GL752" s="1536"/>
      <c r="GM752" s="1536"/>
      <c r="GN752" s="1536"/>
      <c r="GO752" s="1536"/>
      <c r="GP752" s="1536"/>
      <c r="GQ752" s="1536"/>
      <c r="GR752" s="1536"/>
      <c r="GS752" s="1536"/>
      <c r="GT752" s="1536"/>
      <c r="GU752" s="1536"/>
      <c r="GV752" s="1536"/>
      <c r="GW752" s="1536"/>
      <c r="GX752" s="1536"/>
      <c r="GY752" s="1536"/>
      <c r="GZ752" s="1536"/>
      <c r="HA752" s="1536"/>
      <c r="HB752" s="1536"/>
      <c r="HC752" s="1536"/>
      <c r="HD752" s="1536"/>
      <c r="HE752" s="1536"/>
      <c r="HF752" s="1536"/>
      <c r="HG752" s="1536"/>
      <c r="HH752" s="1536"/>
      <c r="HI752" s="1536"/>
      <c r="HJ752" s="1536"/>
      <c r="HK752" s="1536"/>
      <c r="HL752" s="1536"/>
      <c r="HM752" s="1536"/>
      <c r="HN752" s="1536"/>
      <c r="HO752" s="1536"/>
      <c r="HP752" s="1536"/>
      <c r="HQ752" s="1536"/>
      <c r="HR752" s="1536"/>
      <c r="HS752" s="1536"/>
      <c r="HT752" s="1536"/>
      <c r="HU752" s="1536"/>
      <c r="HV752" s="1536"/>
      <c r="HW752" s="1536"/>
      <c r="HX752" s="1536"/>
      <c r="HY752" s="1536"/>
      <c r="HZ752" s="1536"/>
      <c r="IA752" s="1536"/>
      <c r="IB752" s="1536"/>
      <c r="IC752" s="1536"/>
      <c r="ID752" s="1536"/>
      <c r="IE752" s="1536"/>
      <c r="IF752" s="1536"/>
      <c r="IG752" s="1536"/>
      <c r="IH752" s="1536"/>
      <c r="II752" s="1536"/>
      <c r="IJ752" s="1536"/>
      <c r="IK752" s="1536"/>
      <c r="IL752" s="1536"/>
      <c r="IM752" s="1536"/>
      <c r="IN752" s="1536"/>
      <c r="IO752" s="1536"/>
      <c r="IP752" s="1536"/>
      <c r="IQ752" s="1536"/>
      <c r="IR752" s="1536"/>
      <c r="IS752" s="1536"/>
      <c r="IT752" s="1536"/>
      <c r="IU752" s="1536"/>
      <c r="IV752" s="1536"/>
      <c r="IW752" s="1536"/>
      <c r="IX752" s="1536"/>
      <c r="IY752" s="1536"/>
      <c r="IZ752" s="1536"/>
      <c r="JA752" s="1536"/>
      <c r="JB752" s="1536"/>
      <c r="JC752" s="1536"/>
      <c r="JD752" s="1536"/>
      <c r="JE752" s="1536"/>
      <c r="JF752" s="1536"/>
      <c r="JG752" s="1536"/>
      <c r="JH752" s="1157"/>
      <c r="JI752" s="1157"/>
      <c r="JJ752" s="1157"/>
      <c r="JK752" s="1157"/>
      <c r="JL752" s="1157"/>
      <c r="JM752" s="1536"/>
      <c r="JN752" s="1536"/>
      <c r="JO752" s="1536"/>
      <c r="JP752" s="1536"/>
      <c r="JQ752" s="1536"/>
    </row>
    <row r="753" spans="1:277" ht="12" customHeight="1">
      <c r="A753" s="1190" t="str">
        <f t="shared" ref="A753:A790" si="0">IF(AND(E753&gt;0,OR(B753="",C753="",D753="",F753="",G753="", H753="",M753="",N753="",O753="",P753="")),1,"")</f>
        <v/>
      </c>
      <c r="B753" s="1545" t="str">
        <f>'Part VI-Revenues &amp; Expenses'!B10</f>
        <v>60% AMI</v>
      </c>
      <c r="C753" s="1546" t="str">
        <f>'Part VI-Revenues &amp; Expenses'!C10</f>
        <v>Efficiency</v>
      </c>
      <c r="D753" s="1547">
        <f>'Part VI-Revenues &amp; Expenses'!D10</f>
        <v>1</v>
      </c>
      <c r="E753" s="1548">
        <f>'Part VI-Revenues &amp; Expenses'!E10</f>
        <v>3</v>
      </c>
      <c r="F753" s="1548">
        <f>'Part VI-Revenues &amp; Expenses'!F10</f>
        <v>415</v>
      </c>
      <c r="G753" s="1548">
        <f>'Part VI-Revenues &amp; Expenses'!G10</f>
        <v>709</v>
      </c>
      <c r="H753" s="1548">
        <f>'Part VI-Revenues &amp; Expenses'!H10</f>
        <v>875</v>
      </c>
      <c r="I753" s="1548">
        <f>'Part VI-Revenues &amp; Expenses'!I10</f>
        <v>0</v>
      </c>
      <c r="J753" s="1549" t="str">
        <f>'Part VI-Revenues &amp; Expenses'!J10</f>
        <v>HUD</v>
      </c>
      <c r="K753" s="1550">
        <f t="shared" ref="K753:K790" si="1">MAX(0,H753-I753)</f>
        <v>875</v>
      </c>
      <c r="L753" s="1550">
        <f t="shared" ref="L753:L790" si="2">MAX(0,E753*K753)</f>
        <v>2625</v>
      </c>
      <c r="M753" s="1551" t="str">
        <f>'Part VI-Revenues &amp; Expenses'!M10</f>
        <v>No</v>
      </c>
      <c r="N753" s="1551" t="str">
        <f>'Part VI-Revenues &amp; Expenses'!N10</f>
        <v>3+ Story</v>
      </c>
      <c r="O753" s="1551" t="str">
        <f>'Part VI-Revenues &amp; Expenses'!O10</f>
        <v>Acquisition/Rehab</v>
      </c>
      <c r="P753" s="1406" t="str">
        <f>'Part VI-Revenues &amp; Expenses'!P10</f>
        <v>No</v>
      </c>
      <c r="Q753" s="1552">
        <f>'Part VI-Revenues &amp; Expenses'!Q10</f>
        <v>35000</v>
      </c>
      <c r="R753" s="1553">
        <f>'Part VI-Revenues &amp; Expenses'!R10</f>
        <v>0.7320644216691069</v>
      </c>
      <c r="S753" s="1552">
        <f>'Part VI-Revenues &amp; Expenses'!S10</f>
        <v>0</v>
      </c>
      <c r="T753" s="1553">
        <f>'Part VI-Revenues &amp; Expenses'!T10</f>
        <v>0</v>
      </c>
      <c r="U753" s="1477">
        <f>'Part VI-Revenues &amp; Expenses'!U10</f>
        <v>0</v>
      </c>
      <c r="V753" s="1477"/>
      <c r="W753" s="531">
        <f t="shared" ref="W753:W790" si="3">IF(AND(C753="Efficiency",B753="60% AMI",NOT(M753="Common Space")),E753,"")</f>
        <v>3</v>
      </c>
      <c r="X753" s="531" t="str">
        <f t="shared" ref="X753:X790" si="4">IF(AND(C753=1,B753="60% AMI",NOT(M753="Common Space")),E753,"")</f>
        <v/>
      </c>
      <c r="Y753" s="531" t="str">
        <f t="shared" ref="Y753:Y790" si="5">IF(AND(C753=2,B753="60% AMI",NOT(M753="Common Space")),E753,"")</f>
        <v/>
      </c>
      <c r="Z753" s="531" t="str">
        <f t="shared" ref="Z753:Z790" si="6">IF(AND(C753=3,B753="60% AMI",NOT(M753="Common Space")),E753,"")</f>
        <v/>
      </c>
      <c r="AA753" s="531" t="str">
        <f t="shared" ref="AA753:AA790" si="7">IF(AND(C753=4,B753="60% AMI",NOT(M753="Common Space")),E753,"")</f>
        <v/>
      </c>
      <c r="AB753" s="531" t="str">
        <f t="shared" ref="AB753:AB790" si="8">IF(AND(C753="Efficiency",B753="50% AMI",NOT(M753="Common Space")),E753,"")</f>
        <v/>
      </c>
      <c r="AC753" s="531" t="str">
        <f t="shared" ref="AC753:AC790" si="9">IF(AND(C753=1,B753="50% AMI",NOT(M753="Common Space")),E753,"")</f>
        <v/>
      </c>
      <c r="AD753" s="531" t="str">
        <f t="shared" ref="AD753:AD790" si="10">IF(AND(C753=2,B753="50% AMI",NOT(M753="Common Space")),E753,"")</f>
        <v/>
      </c>
      <c r="AE753" s="531" t="str">
        <f t="shared" ref="AE753:AE790" si="11">IF(AND(C753=3,B753="50% AMI",NOT(M753="Common Space")),E753,"")</f>
        <v/>
      </c>
      <c r="AF753" s="531" t="str">
        <f t="shared" ref="AF753:AF790" si="12">IF(AND(C753=4,B753="50% AMI",NOT(M753="Common Space")),E753,"")</f>
        <v/>
      </c>
      <c r="AG753" s="531" t="str">
        <f t="shared" ref="AG753:AG790" si="13">IF(AND(C753="Efficiency",B753="30% AMI",NOT(M753="Common Space")),E753,"")</f>
        <v/>
      </c>
      <c r="AH753" s="531" t="str">
        <f t="shared" ref="AH753:AH790" si="14">IF(AND(C753=1,B753="30% AMI",NOT(M753="Common Space")),E753,"")</f>
        <v/>
      </c>
      <c r="AI753" s="531" t="str">
        <f t="shared" ref="AI753:AI790" si="15">IF(AND(C753=2,B753="30% AMI",NOT(M753="Common Space")),E753,"")</f>
        <v/>
      </c>
      <c r="AJ753" s="531" t="str">
        <f t="shared" ref="AJ753:AJ790" si="16">IF(AND(C753=3,B753="30% AMI",NOT(M753="Common Space")),E753,"")</f>
        <v/>
      </c>
      <c r="AK753" s="531" t="str">
        <f t="shared" ref="AK753:AK790" si="17">IF(AND(C753=4,B753="30% AMI",NOT(M753="Common Space")),E753,"")</f>
        <v/>
      </c>
      <c r="AL753" s="531" t="str">
        <f t="shared" ref="AL753:AL790" si="18">IF(AND(C753="Efficiency",B753="Unrestricted",NOT(M753="Common Space")),E753,"")</f>
        <v/>
      </c>
      <c r="AM753" s="531" t="str">
        <f t="shared" ref="AM753:AM790" si="19">IF(AND(C753=1,B753="Unrestricted",NOT(M753="Common Space")),E753,"")</f>
        <v/>
      </c>
      <c r="AN753" s="531" t="str">
        <f t="shared" ref="AN753:AN790" si="20">IF(AND(C753=2,B753="Unrestricted",NOT(M753="Common Space")),E753,"")</f>
        <v/>
      </c>
      <c r="AO753" s="531" t="str">
        <f t="shared" ref="AO753:AO790" si="21">IF(AND(C753=3,B753="Unrestricted",NOT(M753="Common Space")),E753,"")</f>
        <v/>
      </c>
      <c r="AP753" s="531" t="str">
        <f t="shared" ref="AP753:AP790" si="22">IF(AND(C753=4,B753="Unrestricted",NOT(M753="Common Space")),E753,"")</f>
        <v/>
      </c>
      <c r="AQ753" s="531" t="str">
        <f t="shared" ref="AQ753:AQ790" si="23">IF(OR(AND($C753="Efficiency",NOT($J753=""),NOT($J753="PHA Oper Sub"),$B753="30% AMI",NOT($M753="Common Space")),AND($C753="Efficiency",NOT($J753=""),NOT($J753="PHA Oper Sub"),$B753="HOME 30% AMI",NOT($M753="Common Space"))),$E753,"")</f>
        <v/>
      </c>
      <c r="AR753" s="531" t="str">
        <f t="shared" ref="AR753:AR790" si="24">IF(OR(AND($C753=1,NOT($J753=""),NOT($J753="PHA Oper Sub"),$B753="30% AMI",NOT($M753="Common Space")),AND($C753=1,NOT($J753=""),NOT($J753="PHA Oper Sub"),$B753="HOME 30% AMI",NOT($M753="Common Space"))),$E753,"")</f>
        <v/>
      </c>
      <c r="AS753" s="531" t="str">
        <f t="shared" ref="AS753:AS790" si="25">IF(OR(AND($C753=2,NOT($J753=""),NOT($J753="PHA Oper Sub"),$B753="30% AMI",NOT($M753="Common Space")),AND($C753=2,NOT($J753=""),NOT($J753="PHA Oper Sub"),$B753="HOME 30% AMI",NOT($M753="Common Space"))),$E753,"")</f>
        <v/>
      </c>
      <c r="AT753" s="531" t="str">
        <f t="shared" ref="AT753:AT790" si="26">IF(OR(AND($C753=3,NOT($J753=""),NOT($J753="PHA Oper Sub"),$B753="30% AMI",NOT($M753="Common Space")),AND($C753=3,NOT($J753=""),NOT($J753="PHA Oper Sub"),$B753="HOME 30% AMI",NOT($M753="Common Space"))),$E753,"")</f>
        <v/>
      </c>
      <c r="AU753" s="531" t="str">
        <f t="shared" ref="AU753:AU790" si="27">IF(OR(AND($C753=4,NOT($J753=""),NOT($J753="PHA Oper Sub"),$B753="30% AMI",NOT($M753="Common Space")),AND($C753=4,NOT($J753=""),NOT($J753="PHA Oper Sub"),$B753="HOME 30% AMI",NOT($M753="Common Space"))),$E753,"")</f>
        <v/>
      </c>
      <c r="AV753" s="531" t="str">
        <f t="shared" ref="AV753:AV790" si="28">IF(OR(AND($C753="Efficiency",NOT($J753=""),NOT($J753="PHA Oper Sub"),NOT($J753=0),$B753="50% AMI",NOT($M753="Common Space")),AND($C753="Efficiency",NOT($J753=""),NOT($J753=0),NOT($J753="PHA Oper Sub"),$B753="HOME 50% AMI",NOT($M753="Common Space"))),$E753,"")</f>
        <v/>
      </c>
      <c r="AW753" s="531" t="str">
        <f t="shared" ref="AW753:AW790" si="29">IF(OR(AND($C753=1,NOT($J753=""),NOT($J753=0),NOT($J753="PHA Oper Sub"),$B753="50% AMI",NOT($M753="Common Space")),AND($C753=1,NOT($J753=""),NOT($J753=0),NOT($J753="PHA Oper Sub"),$B753="HOME 50% AMI",NOT($M753="Common Space"))),$E753,"")</f>
        <v/>
      </c>
      <c r="AX753" s="531" t="str">
        <f t="shared" ref="AX753:AX790" si="30">IF(OR(AND($C753=2,NOT($J753=""),NOT($J753=0),NOT($J753="PHA Oper Sub"),$B753="50% AMI",NOT($M753="Common Space")),AND($C753=2,NOT($J753=""),NOT($J753=0),NOT($J753="PHA Oper Sub"),$B753="HOME 50% AMI",NOT($M753="Common Space"))),$E753,"")</f>
        <v/>
      </c>
      <c r="AY753" s="531" t="str">
        <f t="shared" ref="AY753:AY790" si="31">IF(OR(AND($C753=3,NOT($J753=""),NOT($J753=0),NOT($J753="PHA Oper Sub"),$B753="50% AMI",NOT($M753="Common Space")),AND($C753=3,NOT($J753=""),NOT($J753=0),NOT($J753="PHA Oper Sub"),$B753="HOME 50% AMI",NOT($M753="Common Space"))),$E753,"")</f>
        <v/>
      </c>
      <c r="AZ753" s="531" t="str">
        <f t="shared" ref="AZ753:AZ790" si="32">IF(OR(AND($C753=4,NOT($J753=""),NOT($J753=0),NOT($J753="PHA Oper Sub"),$B753="50% AMI",NOT($M753="Common Space")),AND($C753=4,NOT($J753=""),NOT($J753=0),NOT($J753="PHA Oper Sub"),$B753="HOME 50% AMI",NOT($M753="Common Space"))),$E753,"")</f>
        <v/>
      </c>
      <c r="BA753" s="531">
        <f t="shared" ref="BA753:BA790" si="33">IF(OR(AND($C753="Efficiency",NOT($J753=""),NOT($J753=0),NOT($J753="PHA Oper Sub"),$B753="60% AMI",NOT($M753="Common Space")),AND($C753="Efficiency",NOT($J753=""),NOT($J753=0),NOT($J753="PHA Oper Sub"),$B753="HOME 60% AMI",NOT($M753="Common Space"))),$E753,"")</f>
        <v>3</v>
      </c>
      <c r="BB753" s="531" t="str">
        <f t="shared" ref="BB753:BB790" si="34">IF(OR(AND($C753=1,NOT($J753=""),NOT($J753=0),NOT($J753="PHA Oper Sub"),$B753="60% AMI",NOT($M753="Common Space")),AND($C753=1,NOT($J753=""),NOT($J753=0),NOT($J753="PHA Oper Sub"),$B753="HOME 60% AMI",NOT($M753="Common Space"))),$E753,"")</f>
        <v/>
      </c>
      <c r="BC753" s="531" t="str">
        <f t="shared" ref="BC753:BC790" si="35">IF(OR(AND($C753=2,NOT($J753=""),NOT($J753=0),NOT($J753="PHA Oper Sub"),$B753="60% AMI",NOT($M753="Common Space")),AND($C753=2,NOT($J753=""),NOT($J753=0),NOT($J753="PHA Oper Sub"),$B753="HOME 60% AMI",NOT($M753="Common Space"))),$E753,"")</f>
        <v/>
      </c>
      <c r="BD753" s="531" t="str">
        <f t="shared" ref="BD753:BD790" si="36">IF(OR(AND($C753=3,NOT($J753=""),NOT($J753=0),NOT($J753="PHA Oper Sub"),$B753="60% AMI",NOT($M753="Common Space")),AND($C753=3,NOT($J753=""),NOT($J753=0),NOT($J753="PHA Oper Sub"),$B753="HOME 60% AMI",NOT($M753="Common Space"))),$E753,"")</f>
        <v/>
      </c>
      <c r="BE753" s="531" t="str">
        <f t="shared" ref="BE753:BE790" si="37">IF(OR(AND($C753=4,NOT($J753=""),NOT($J753=0),NOT($J753="PHA Oper Sub"),$B753="60% AMI",NOT($M753="Common Space")),AND($C753=4,NOT($J753=""),NOT($J753=0),NOT($J753="PHA Oper Sub"),$B753="HOME 60% AMI",NOT($M753="Common Space"))),$E753,"")</f>
        <v/>
      </c>
      <c r="BF753" s="531" t="str">
        <f t="shared" ref="BF753:BF790" si="38">IF(OR(AND($C753="Efficiency",$J753="PHA Oper Sub",$B753="30% AMI",NOT($M753="Common Space")),AND($C753="Efficiency",$J753="PHA Oper Sub",$B753="HOME 30% AMI",NOT($M753="Common Space"))),$E753,"")</f>
        <v/>
      </c>
      <c r="BG753" s="531" t="str">
        <f t="shared" ref="BG753:BG790" si="39">IF(OR(AND($C753=1,$J753="PHA Oper Sub",$B753="30% AMI",NOT($M753="Common Space")),AND($C753=1,$J753="PHA Oper Sub",$B753="HOME 30% AMI",NOT($M753="Common Space"))),$E753,"")</f>
        <v/>
      </c>
      <c r="BH753" s="531" t="str">
        <f t="shared" ref="BH753:BH790" si="40">IF(OR(AND($C753=2,$J753="PHA Oper Sub",$B753="30% AMI",NOT($M753="Common Space")),AND($C753=2,$J753="PHA Oper Sub",$B753="HOME 30% AMI",NOT($M753="Common Space"))),$E753,"")</f>
        <v/>
      </c>
      <c r="BI753" s="531" t="str">
        <f t="shared" ref="BI753:BI790" si="41">IF(OR(AND($C753=3,$J753="PHA Oper Sub",$B753="30% AMI",NOT($M753="Common Space")),AND($C753=3,$J753="PHA Oper Sub",$B753="HOME 30% AMI",NOT($M753="Common Space"))),$E753,"")</f>
        <v/>
      </c>
      <c r="BJ753" s="531" t="str">
        <f t="shared" ref="BJ753:BJ790" si="42">IF(OR(AND($C753=4,$J753="PHA Oper Sub",$B753="30% AMI",NOT($M753="Common Space")),AND($C753=4,$J753="PHA Oper Sub",$B753="HOME 30% AMI",NOT($M753="Common Space"))),$E753,"")</f>
        <v/>
      </c>
      <c r="BK753" s="531" t="str">
        <f t="shared" ref="BK753:BK790" si="43">IF(OR(AND($C753="Efficiency",$J753="PHA Oper Sub",$B753="50% AMI",NOT($M753="Common Space")),AND($C753="Efficiency",$J753="PHA Oper Sub",$B753="HOME 50% AMI",NOT($M753="Common Space"))),$E753,"")</f>
        <v/>
      </c>
      <c r="BL753" s="531" t="str">
        <f t="shared" ref="BL753:BL790" si="44">IF(OR(AND($C753=1,$J753="PHA Oper Sub",$B753="50% AMI",NOT($M753="Common Space")),AND($C753=1,$J753="PHA Oper Sub",$B753="HOME 50% AMI",NOT($M753="Common Space"))),$E753,"")</f>
        <v/>
      </c>
      <c r="BM753" s="531" t="str">
        <f t="shared" ref="BM753:BM790" si="45">IF(OR(AND($C753=2,$J753="PHA Oper Sub",$B753="50% AMI",NOT($M753="Common Space")),AND($C753=2,$J753="PHA Oper Sub",$B753="HOME 50% AMI",NOT($M753="Common Space"))),$E753,"")</f>
        <v/>
      </c>
      <c r="BN753" s="531" t="str">
        <f t="shared" ref="BN753:BN790" si="46">IF(OR(AND($C753=3,$J753="PHA Oper Sub",$B753="50% AMI",NOT($M753="Common Space")),AND($C753=3,$J753="PHA Oper Sub",$B753="HOME 50% AMI",NOT($M753="Common Space"))),$E753,"")</f>
        <v/>
      </c>
      <c r="BO753" s="531" t="str">
        <f t="shared" ref="BO753:BO790" si="47">IF(OR(AND($C753=4,$J753="PHA Oper Sub",$B753="50% AMI",NOT($M753="Common Space")),AND($C753=4,$J753="PHA Oper Sub",$B753="HOME 50% AMI",NOT($M753="Common Space"))),$E753,"")</f>
        <v/>
      </c>
      <c r="BP753" s="531" t="str">
        <f t="shared" ref="BP753:BP790" si="48">IF(OR(AND($C753="Efficiency",$J753="PHA Oper Sub",$B753="60% AMI",NOT($M753="Common Space")),AND($C753="Efficiency",$J753="PHA Oper Sub",$B753="HOME 60% AMI",NOT($M753="Common Space"))),$E753,"")</f>
        <v/>
      </c>
      <c r="BQ753" s="531" t="str">
        <f t="shared" ref="BQ753:BQ790" si="49">IF(OR(AND($C753=1,$J753="PHA Oper Sub",$B753="60% AMI",NOT($M753="Common Space")),AND($C753=1,$J753="PHA Oper Sub",$B753="HOME 60% AMI",NOT($M753="Common Space"))),$E753,"")</f>
        <v/>
      </c>
      <c r="BR753" s="531" t="str">
        <f t="shared" ref="BR753:BR790" si="50">IF(OR(AND($C753=2,$J753="PHA Oper Sub",$B753="60% AMI",NOT($M753="Common Space")),AND($C753=2,$J753="PHA Oper Sub",$B753="HOME 60% AMI",NOT($M753="Common Space"))),$E753,"")</f>
        <v/>
      </c>
      <c r="BS753" s="531" t="str">
        <f t="shared" ref="BS753:BS790" si="51">IF(OR(AND($C753=3,$J753="PHA Oper Sub",$B753="60% AMI",NOT($M753="Common Space")),AND($C753=3,$J753="PHA Oper Sub",$B753="HOME 60% AMI",NOT($M753="Common Space"))),$E753,"")</f>
        <v/>
      </c>
      <c r="BT753" s="531" t="str">
        <f t="shared" ref="BT753:BT790" si="52">IF(OR(AND($C753=4,$J753="PHA Oper Sub",$B753="60% AMI",NOT($M753="Common Space")),AND($C753=4,$J753="PHA Oper Sub",$B753="HOME 60% AMI",NOT($M753="Common Space"))),$E753,"")</f>
        <v/>
      </c>
      <c r="BU753" s="531" t="str">
        <f t="shared" ref="BU753:BU790" si="53">IF(AND(C753="Efficiency",M753="Common Space"),E753,"")</f>
        <v/>
      </c>
      <c r="BV753" s="531" t="str">
        <f t="shared" ref="BV753:BV790" si="54">IF(AND(C753=1,M753="Common Space"),E753,"")</f>
        <v/>
      </c>
      <c r="BW753" s="531" t="str">
        <f t="shared" ref="BW753:BW790" si="55">IF(AND(C753=2,M753="Common Space"),E753,"")</f>
        <v/>
      </c>
      <c r="BX753" s="531" t="str">
        <f t="shared" ref="BX753:BX790" si="56">IF(AND(C753=3,M753="Common Space"),E753,"")</f>
        <v/>
      </c>
      <c r="BY753" s="531" t="str">
        <f t="shared" ref="BY753:BY790" si="57">IF(AND(C753=4,M753="Common Space"),E753,"")</f>
        <v/>
      </c>
      <c r="BZ753" s="531">
        <f t="shared" ref="BZ753:BZ790" si="58">IF(OR(AND(C753="Efficiency",B753="60% AMI",NOT(M753="Common Space")),AND(C753="Efficiency",B753="HOME 60% AMI",NOT(M753="Common Space"))),E753*F753,"")</f>
        <v>1245</v>
      </c>
      <c r="CA753" s="531" t="str">
        <f t="shared" ref="CA753:CA790" si="59">IF(OR(AND(C753=1,B753="60% AMI",NOT(M753="Common Space")),AND(C753=1,B753="HOME 60% AMI",NOT(M753="Common Space"))),E753*F753,"")</f>
        <v/>
      </c>
      <c r="CB753" s="531" t="str">
        <f t="shared" ref="CB753:CB790" si="60">IF(OR(AND(C753=2,B753="60% AMI",NOT(M753="Common Space")),AND(C753=2,B753="HOME 60% AMI",NOT(M753="Common Space"))),E753*F753,"")</f>
        <v/>
      </c>
      <c r="CC753" s="531" t="str">
        <f t="shared" ref="CC753:CC790" si="61">IF(OR(AND(C753=3,B753="60% AMI",NOT(M753="Common Space")),AND(C753=3,B753="HOME 60% AMI",NOT(M753="Common Space"))),E753*F753,"")</f>
        <v/>
      </c>
      <c r="CD753" s="531" t="str">
        <f t="shared" ref="CD753:CD790" si="62">IF(OR(AND(C753=4,B753="60% AMI",NOT(M753="Common Space")),AND(C753=4,B753="HOME 60% AMI",NOT(M753="Common Space"))),E753*F753,"")</f>
        <v/>
      </c>
      <c r="CE753" s="531" t="str">
        <f t="shared" ref="CE753:CE790" si="63">IF(OR(AND(C753="Efficiency",B753="50% AMI",NOT(M753="Common Space")),AND(C753="Efficiency",B753="HOME 50% AMI",NOT(M753="Common Space"))),E753*F753,"")</f>
        <v/>
      </c>
      <c r="CF753" s="531" t="str">
        <f t="shared" ref="CF753:CF790" si="64">IF(OR(AND(C753=1,B753="50% AMI",NOT(M753="Common Space")),AND(C753=1,B753="HOME 50% AMI",NOT(M753="Common Space"))),E753*F753,"")</f>
        <v/>
      </c>
      <c r="CG753" s="531" t="str">
        <f t="shared" ref="CG753:CG790" si="65">IF(OR(AND(C753=2,B753="50% AMI",NOT(M753="Common Space")),AND(C753=2,B753="HOME 50% AMI",NOT(M753="Common Space"))),E753*F753,"")</f>
        <v/>
      </c>
      <c r="CH753" s="531" t="str">
        <f t="shared" ref="CH753:CH790" si="66">IF(OR(AND(C753=3,B753="50% AMI",NOT(M753="Common Space")),AND(C753=3,B753="HOME 50% AMI",NOT(M753="Common Space"))),E753*F753,"")</f>
        <v/>
      </c>
      <c r="CI753" s="531" t="str">
        <f t="shared" ref="CI753:CI790" si="67">IF(OR(AND(C753=4,B753="50% AMI",NOT(M753="Common Space")),AND(C753=4,B753="HOME 50% AMI",NOT(M753="Common Space"))),E753*F753,"")</f>
        <v/>
      </c>
      <c r="CJ753" s="531" t="str">
        <f t="shared" ref="CJ753:CJ790" si="68">IF(OR(AND(C753="Efficiency",B753="30% AMI",NOT(M753="Common Space")),AND(C753="Efficiency",B753="HOME 30% AMI",NOT(M753="Common Space"))),E753*F753,"")</f>
        <v/>
      </c>
      <c r="CK753" s="531" t="str">
        <f t="shared" ref="CK753:CK790" si="69">IF(OR(AND(C753=1,B753="30% AMI",NOT(M753="Common Space")),AND(C753=1,B753="HOME 30% AMI",NOT(M753="Common Space"))),E753*F753,"")</f>
        <v/>
      </c>
      <c r="CL753" s="531" t="str">
        <f t="shared" ref="CL753:CL790" si="70">IF(OR(AND(C753=2,B753="30% AMI",NOT(M753="Common Space")),AND(C753=2,B753="HOME 30% AMI",NOT(M753="Common Space"))),E753*F753,"")</f>
        <v/>
      </c>
      <c r="CM753" s="531" t="str">
        <f t="shared" ref="CM753:CM790" si="71">IF(OR(AND(C753=3,B753="30% AMI",NOT(M753="Common Space")),AND(C753=3,B753="HOME 30% AMI",NOT(M753="Common Space"))),E753*F753,"")</f>
        <v/>
      </c>
      <c r="CN753" s="531" t="str">
        <f t="shared" ref="CN753:CN790" si="72">IF(OR(AND(C753=4,B753="30% AMI",NOT(M753="Common Space")),AND(C753=4,B753="HOME 30% AMI",NOT(M753="Common Space"))),E753*F753,"")</f>
        <v/>
      </c>
      <c r="CO753" s="531" t="str">
        <f t="shared" ref="CO753:CO790" si="73">IF(AND(C753="Efficiency",B753="Unrestricted",NOT(M753="Common Space")),E753*F753,"")</f>
        <v/>
      </c>
      <c r="CP753" s="531" t="str">
        <f t="shared" ref="CP753:CP790" si="74">IF(AND(C753=1,B753="Unrestricted",NOT(M753="Common Space")),E753*F753,"")</f>
        <v/>
      </c>
      <c r="CQ753" s="531" t="str">
        <f t="shared" ref="CQ753:CQ790" si="75">IF(AND(C753=2,B753="Unrestricted",NOT(M753="Common Space")),E753*F753,"")</f>
        <v/>
      </c>
      <c r="CR753" s="531" t="str">
        <f t="shared" ref="CR753:CR790" si="76">IF(AND(C753=3,B753="Unrestricted",NOT(M753="Common Space")),E753*F753,"")</f>
        <v/>
      </c>
      <c r="CS753" s="531" t="str">
        <f t="shared" ref="CS753:CS790" si="77">IF(AND(C753=4,B753="Unrestricted",NOT(M753="Common Space")),E753*F753,"")</f>
        <v/>
      </c>
      <c r="CT753" s="531">
        <f t="shared" ref="CT753:CT790" si="78">IF(AND(C753="Efficiency",NOT(J753=""),NOT($J753=0),NOT(M753="Common Space")),E753*F753,"")</f>
        <v>1245</v>
      </c>
      <c r="CU753" s="531" t="str">
        <f t="shared" ref="CU753:CU790" si="79">IF(AND(C753=1,NOT(J753=""),NOT($J753=0),NOT(M753="Common Space")),E753*F753,"")</f>
        <v/>
      </c>
      <c r="CV753" s="531" t="str">
        <f t="shared" ref="CV753:CV790" si="80">IF(AND(C753=2,NOT(J753=""),NOT($J753=0),NOT(M753="Common Space")),E753*F753,"")</f>
        <v/>
      </c>
      <c r="CW753" s="531" t="str">
        <f t="shared" ref="CW753:CW790" si="81">IF(AND(C753=3,NOT(J753=""),NOT($J753=0),NOT(M753="Common Space")),E753*F753,"")</f>
        <v/>
      </c>
      <c r="CX753" s="531" t="str">
        <f t="shared" ref="CX753:CX790" si="82">IF(AND(C753=4,NOT(J753=""),NOT($J753=0),NOT(M753="Common Space")),E753*F753,"")</f>
        <v/>
      </c>
      <c r="CY753" s="531" t="str">
        <f t="shared" ref="CY753:CY790" si="83">IF(AND(C753="Efficiency",M753="Common Space"),E753*F753,"")</f>
        <v/>
      </c>
      <c r="CZ753" s="531" t="str">
        <f t="shared" ref="CZ753:CZ790" si="84">IF(AND(C753=1,M753="Common Space"),E753*F753,"")</f>
        <v/>
      </c>
      <c r="DA753" s="531" t="str">
        <f t="shared" ref="DA753:DA790" si="85">IF(AND(C753=2,M753="Common Space"),E753*F753,"")</f>
        <v/>
      </c>
      <c r="DB753" s="531" t="str">
        <f t="shared" ref="DB753:DB790" si="86">IF(AND(C753=3,M753="Common Space"),E753*F753,"")</f>
        <v/>
      </c>
      <c r="DC753" s="531" t="str">
        <f t="shared" ref="DC753:DC790" si="87">IF(AND(C753=4,M753="Common Space"),E753*F753,"")</f>
        <v/>
      </c>
      <c r="DD753" s="531" t="str">
        <f t="shared" ref="DD753:DD790" si="88">IF(AND($C753="Efficiency", $O753="New Construction",NOT($B753="Unrestricted"),NOT($B753="NSP 120% AMI"),NOT($B753="N/A-CS"),NOT($M753="Common Space")),$E753,"")</f>
        <v/>
      </c>
      <c r="DE753" s="531" t="str">
        <f t="shared" ref="DE753:DE790" si="89">IF(AND($C753=1, $O753="New Construction",NOT($B753="Unrestricted"),NOT($B753="NSP 120% AMI"),NOT($B753="N/A-CS"),NOT($M753="Common Space")),$E753,"")</f>
        <v/>
      </c>
      <c r="DF753" s="531" t="str">
        <f t="shared" ref="DF753:DF790" si="90">IF(AND($C753=2, $O753="New Construction",NOT($B753="Unrestricted"),NOT($B753="NSP 120% AMI"),NOT($B753="N/A-CS"),NOT($M753="Common Space")),$E753,"")</f>
        <v/>
      </c>
      <c r="DG753" s="531" t="str">
        <f t="shared" ref="DG753:DG790" si="91">IF(AND($C753=3, $O753="New Construction",NOT($B753="Unrestricted"),NOT($B753="NSP 120% AMI"),NOT($B753="N/A-CS"),NOT($M753="Common Space")),$E753,"")</f>
        <v/>
      </c>
      <c r="DH753" s="531" t="str">
        <f t="shared" ref="DH753:DH790" si="92">IF(AND($C753=4, $O753="New Construction",NOT($B753="Unrestricted"),NOT($B753="NSP 120% AMI"),NOT($B753="N/A-CS"),NOT($M753="Common Space")),$E753,"")</f>
        <v/>
      </c>
      <c r="DI753" s="531" t="str">
        <f t="shared" ref="DI753:DI790" si="93">IF(AND($C753="Efficiency", $O753="New Construction",$B753="Unrestricted",NOT($B753="N/A-CS"),NOT($M753="Common Space")),$E753,"")</f>
        <v/>
      </c>
      <c r="DJ753" s="531" t="str">
        <f t="shared" ref="DJ753:DJ790" si="94">IF(AND($C753=1, $O753="New Construction",$B753="Unrestricted",NOT($B753="N/A-CS"),NOT($M753="Common Space")),$E753,"")</f>
        <v/>
      </c>
      <c r="DK753" s="531" t="str">
        <f t="shared" ref="DK753:DK790" si="95">IF(AND($C753=2, $O753="New Construction",$B753="Unrestricted",NOT($B753="N/A-CS"),NOT($M753="Common Space")),$E753,"")</f>
        <v/>
      </c>
      <c r="DL753" s="531" t="str">
        <f t="shared" ref="DL753:DL790" si="96">IF(AND($C753=3, $O753="New Construction",$B753="Unrestricted",NOT($B753="N/A-CS"),NOT($M753="Common Space")),$E753,"")</f>
        <v/>
      </c>
      <c r="DM753" s="531" t="str">
        <f t="shared" ref="DM753:DM790" si="97">IF(AND($C753=4, $O753="New Construction",$B753="Unrestricted",NOT($B753="N/A-CS"),NOT($M753="Common Space")),$E753,"")</f>
        <v/>
      </c>
      <c r="DN753" s="531" t="str">
        <f t="shared" ref="DN753:DN790" si="98">IF(AND($C753="Efficiency", $O753="New Construction",$B753="N/A-CS",$M753="Common Space"),$E753,"")</f>
        <v/>
      </c>
      <c r="DO753" s="531" t="str">
        <f t="shared" ref="DO753:DO790" si="99">IF(AND($C753=1, $O753="New Construction",$B753="N/A-CS",$M753="Common Space"),$E753,"")</f>
        <v/>
      </c>
      <c r="DP753" s="531" t="str">
        <f t="shared" ref="DP753:DP790" si="100">IF(AND($C753=2, $O753="New Construction",$B753="N/A-CS",$M753="Common Space"),$E753,"")</f>
        <v/>
      </c>
      <c r="DQ753" s="531" t="str">
        <f t="shared" ref="DQ753:DQ790" si="101">IF(AND($C753=3, $O753="New Construction",$B753="N/A-CS",$M753="Common Space"),$E753,"")</f>
        <v/>
      </c>
      <c r="DR753" s="531" t="str">
        <f t="shared" ref="DR753:DR790" si="102">IF(AND($C753=4, $O753="New Construction",$B753="N/A-CS",$M753="Common Space"),$E753,"")</f>
        <v/>
      </c>
      <c r="DS753" s="531">
        <f t="shared" ref="DS753:DS790" si="103">IF(AND($C753="Efficiency", $O753="Acquisition/Rehab",NOT($B753="Unrestricted"),NOT($B753="NSP 120% AMI"),NOT($B753="N/A-CS"),NOT($M753="Common Space")),$E753,"")</f>
        <v>3</v>
      </c>
      <c r="DT753" s="531" t="str">
        <f t="shared" ref="DT753:DT790" si="104">IF(AND($C753=1, $O753="Acquisition/Rehab",NOT($B753="Unrestricted"),NOT($B753="NSP 120% AMI"),NOT($B753="N/A-CS"),NOT($M753="Common Space")),$E753,"")</f>
        <v/>
      </c>
      <c r="DU753" s="531" t="str">
        <f t="shared" ref="DU753:DU790" si="105">IF(AND($C753=2, $O753="Acquisition/Rehab",NOT($B753="Unrestricted"),NOT($B753="NSP 120% AMI"),NOT($B753="N/A-CS"),NOT($M753="Common Space")),$E753,"")</f>
        <v/>
      </c>
      <c r="DV753" s="531" t="str">
        <f t="shared" ref="DV753:DV790" si="106">IF(AND($C753=3, $O753="Acquisition/Rehab",NOT($B753="Unrestricted"),NOT($B753="NSP 120% AMI"),NOT($B753="N/A-CS"),NOT($M753="Common Space")),$E753,"")</f>
        <v/>
      </c>
      <c r="DW753" s="531" t="str">
        <f t="shared" ref="DW753:DW790" si="107">IF(AND($C753=4, $O753="Acquisition/Rehab",NOT($B753="Unrestricted"),NOT($B753="NSP 120% AMI"),NOT($B753="N/A-CS"),NOT($M753="Common Space")),$E753,"")</f>
        <v/>
      </c>
      <c r="DX753" s="531" t="str">
        <f t="shared" ref="DX753:DX790" si="108">IF(AND($C753="Efficiency", $O753="Acquisition/Rehab",$B753="Unrestricted",NOT($B753="N/A-CS"),NOT($M753="Common Space")),$E753,"")</f>
        <v/>
      </c>
      <c r="DY753" s="531" t="str">
        <f t="shared" ref="DY753:DY790" si="109">IF(AND($C753=1, $O753="Acquisition/Rehab",$B753="Unrestricted",NOT($B753="N/A-CS"),NOT($M753="Common Space")),$E753,"")</f>
        <v/>
      </c>
      <c r="DZ753" s="531" t="str">
        <f t="shared" ref="DZ753:DZ790" si="110">IF(AND($C753=2, $O753="Acquisition/Rehab",$B753="Unrestricted",NOT($B753="N/A-CS"),NOT($M753="Common Space")),$E753,"")</f>
        <v/>
      </c>
      <c r="EA753" s="531" t="str">
        <f t="shared" ref="EA753:EA790" si="111">IF(AND($C753=3, $O753="Acquisition/Rehab",$B753="Unrestricted",NOT($B753="N/A-CS"),NOT($M753="Common Space")),$E753,"")</f>
        <v/>
      </c>
      <c r="EB753" s="531" t="str">
        <f t="shared" ref="EB753:EB790" si="112">IF(AND($C753=4, $O753="Acquisition/Rehab",$B753="Unrestricted",NOT($B753="N/A-CS"),NOT($M753="Common Space")),$E753,"")</f>
        <v/>
      </c>
      <c r="EC753" s="531" t="str">
        <f t="shared" ref="EC753:EC790" si="113">IF(AND($C753="Efficiency", $O753="Acquisition/Rehab",$B753="N/A-CS",$M753="Common Space"),$E753,"")</f>
        <v/>
      </c>
      <c r="ED753" s="531" t="str">
        <f t="shared" ref="ED753:ED790" si="114">IF(AND($C753=1, $O753="Acquisition/Rehab",$B753="N/A-CS",$M753="Common Space"),$E753,"")</f>
        <v/>
      </c>
      <c r="EE753" s="531" t="str">
        <f t="shared" ref="EE753:EE790" si="115">IF(AND($C753=2, $O753="Acquisition/Rehab",$B753="N/A-CS",$M753="Common Space"),$E753,"")</f>
        <v/>
      </c>
      <c r="EF753" s="531" t="str">
        <f t="shared" ref="EF753:EF790" si="116">IF(AND($C753=3, $O753="Acquisition/Rehab",$B753="N/A-CS",$M753="Common Space"),$E753,"")</f>
        <v/>
      </c>
      <c r="EG753" s="531" t="str">
        <f t="shared" ref="EG753:EG790" si="117">IF(AND($C753=4, $O753="Acquisition/Rehab",$B753="N/A-CS",$M753="Common Space"),$E753,"")</f>
        <v/>
      </c>
      <c r="EH753" s="531" t="str">
        <f t="shared" ref="EH753:EH790" si="118">IF(AND($C753="Efficiency", $O753="Rehabilitation",NOT($B753="Unrestricted"),NOT($B753="NSP 120% AMI"),NOT($B753="N/A-CS"),NOT($M753="Common Space")),$E753,"")</f>
        <v/>
      </c>
      <c r="EI753" s="531" t="str">
        <f t="shared" ref="EI753:EI790" si="119">IF(AND($C753=1, $O753="Rehabilitation",NOT($B753="Unrestricted"),NOT($B753="NSP 120% AMI"),NOT($B753="N/A-CS"),NOT($M753="Common Space")),$E753,"")</f>
        <v/>
      </c>
      <c r="EJ753" s="531" t="str">
        <f t="shared" ref="EJ753:EJ790" si="120">IF(AND($C753=2, $O753="Rehabilitation",NOT($B753="Unrestricted"),NOT($B753="NSP 120% AMI"),NOT($B753="N/A-CS"),NOT($M753="Common Space")),$E753,"")</f>
        <v/>
      </c>
      <c r="EK753" s="531" t="str">
        <f t="shared" ref="EK753:EK790" si="121">IF(AND($C753=3, $O753="Rehabilitation",NOT($B753="Unrestricted"),NOT($B753="NSP 120% AMI"),NOT($B753="N/A-CS"),NOT($M753="Common Space")),$E753,"")</f>
        <v/>
      </c>
      <c r="EL753" s="531" t="str">
        <f t="shared" ref="EL753:EL790" si="122">IF(AND($C753=4, $O753="Rehabilitation",NOT($B753="Unrestricted"),NOT($B753="NSP 120% AMI"),NOT($B753="N/A-CS"),NOT($M753="Common Space")),$E753,"")</f>
        <v/>
      </c>
      <c r="EM753" s="531" t="str">
        <f t="shared" ref="EM753:EM790" si="123">IF(AND($C753="Efficiency", $O753="Rehabilitation",$B753="Unrestricted",NOT($B753="N/A-CS"),NOT($M753="Common Space")),$E753,"")</f>
        <v/>
      </c>
      <c r="EN753" s="531" t="str">
        <f t="shared" ref="EN753:EN790" si="124">IF(AND($C753=1, $O753="Rehabilitation",$B753="Unrestricted",NOT($B753="N/A-CS"),NOT($M753="Common Space")),$E753,"")</f>
        <v/>
      </c>
      <c r="EO753" s="531" t="str">
        <f t="shared" ref="EO753:EO790" si="125">IF(AND($C753=2, $O753="Rehabilitation",$B753="Unrestricted",NOT($B753="N/A-CS"),NOT($M753="Common Space")),$E753,"")</f>
        <v/>
      </c>
      <c r="EP753" s="531" t="str">
        <f t="shared" ref="EP753:EP790" si="126">IF(AND($C753=3, $O753="Rehabilitation",$B753="Unrestricted",NOT($B753="N/A-CS"),NOT($M753="Common Space")),$E753,"")</f>
        <v/>
      </c>
      <c r="EQ753" s="531" t="str">
        <f t="shared" ref="EQ753:EQ790" si="127">IF(AND($C753=4, $O753="Rehabilitation",$B753="Unrestricted",NOT($B753="N/A-CS"),NOT($M753="Common Space")),$E753,"")</f>
        <v/>
      </c>
      <c r="ER753" s="531" t="str">
        <f t="shared" ref="ER753:ER790" si="128">IF(AND($C753="Efficiency", $O753="Rehabilitation",$B753="N/A-CS",$M753="Common Space"),$E753,"")</f>
        <v/>
      </c>
      <c r="ES753" s="531" t="str">
        <f t="shared" ref="ES753:ES790" si="129">IF(AND($C753=1, $O753="Rehabilitation",$B753="N/A-CS",$M753="Common Space"),$E753,"")</f>
        <v/>
      </c>
      <c r="ET753" s="531" t="str">
        <f t="shared" ref="ET753:ET790" si="130">IF(AND($C753=2, $O753="Rehabilitation",$B753="N/A-CS",$M753="Common Space"),$E753,"")</f>
        <v/>
      </c>
      <c r="EU753" s="531" t="str">
        <f t="shared" ref="EU753:EU790" si="131">IF(AND($C753=3, $O753="Rehabilitation",$B753="N/A-CS",$M753="Common Space"),$E753,"")</f>
        <v/>
      </c>
      <c r="EV753" s="531" t="str">
        <f t="shared" ref="EV753:EV790" si="132">IF(AND($C753=4, $O753="Rehabilitation",$B753="N/A-CS",$M753="Common Space"),$E753,"")</f>
        <v/>
      </c>
      <c r="EW753" s="1554">
        <f t="shared" ref="EW753:EW790" si="133">IF(AND($C753="Efficiency", NOT(OR($N753="SF Detached",$N753="Mfd Home",$N753="Duplex",$N753="Townhome"))),$E753,"")</f>
        <v>3</v>
      </c>
      <c r="EX753" s="1554" t="str">
        <f t="shared" ref="EX753:EX790" si="134">IF(AND($C753=1, NOT(OR($N753="SF Detached",$N753="Mfd Home",$N753="Duplex",$N753="Townhome"))),$E753,"")</f>
        <v/>
      </c>
      <c r="EY753" s="1554" t="str">
        <f t="shared" ref="EY753:EY790" si="135">IF(AND($C753=2, NOT(OR($N753="SF Detached",$N753="Mfd Home",$N753="Duplex",$N753="Townhome"))),$E753,"")</f>
        <v/>
      </c>
      <c r="EZ753" s="1554" t="str">
        <f t="shared" ref="EZ753:EZ790" si="136">IF(AND($C753=3, NOT(OR($N753="SF Detached",$N753="Mfd Home",$N753="Duplex",$N753="Townhome"))),$E753,"")</f>
        <v/>
      </c>
      <c r="FA753" s="1554" t="str">
        <f t="shared" ref="FA753:FA790" si="137">IF(AND($C753=4, NOT(OR($N753="SF Detached",$N753="Mfd Home",$N753="Duplex",$N753="Townhome"))),$E753,"")</f>
        <v/>
      </c>
      <c r="FB753" s="1554" t="str">
        <f t="shared" ref="FB753:FB790" si="138">IF(AND($C753="Efficiency", $N753="SF Detached",NOT($P753="Yes")),$E753,"")</f>
        <v/>
      </c>
      <c r="FC753" s="1554" t="str">
        <f t="shared" ref="FC753:FC790" si="139">IF(AND($C753=1, $N753="SF Detached",NOT($P753="Yes")),$E753,"")</f>
        <v/>
      </c>
      <c r="FD753" s="1554" t="str">
        <f t="shared" ref="FD753:FD790" si="140">IF(AND($C753=2, $N753="SF Detached",NOT($P753="Yes")),$E753,"")</f>
        <v/>
      </c>
      <c r="FE753" s="1554" t="str">
        <f t="shared" ref="FE753:FE790" si="141">IF(AND($C753=3, $N753="SF Detached",NOT($P753="Yes")),$E753,"")</f>
        <v/>
      </c>
      <c r="FF753" s="1554" t="str">
        <f t="shared" ref="FF753:FF790" si="142">IF(AND($C753=4, $N753="SF Detached",NOT($P753="Yes")),$E753,"")</f>
        <v/>
      </c>
      <c r="FG753" s="1554" t="str">
        <f t="shared" ref="FG753:FG790" si="143">IF(AND($C753="Efficiency", $N753="SF Detached",$P753="Yes"),$E753,"")</f>
        <v/>
      </c>
      <c r="FH753" s="1554" t="str">
        <f t="shared" ref="FH753:FH790" si="144">IF(AND($C753=1, $N753="SF Detached",$P753="Yes"),$E753,"")</f>
        <v/>
      </c>
      <c r="FI753" s="1554" t="str">
        <f t="shared" ref="FI753:FI790" si="145">IF(AND($C753=2, $N753="SF Detached",$P753="Yes"),$E753,"")</f>
        <v/>
      </c>
      <c r="FJ753" s="1554" t="str">
        <f t="shared" ref="FJ753:FJ790" si="146">IF(AND($C753=3, $N753="SF Detached",$P753="Yes"),$E753,"")</f>
        <v/>
      </c>
      <c r="FK753" s="1554" t="str">
        <f t="shared" ref="FK753:FK790" si="147">IF(AND($C753=4, $N753="SF Detached",$P753="Yes"),$E753,"")</f>
        <v/>
      </c>
      <c r="FL753" s="1554" t="str">
        <f t="shared" ref="FL753:FL790" si="148">IF(AND($C753="Efficiency", $N753="Mfd Home",NOT($P753="Yes")),$E753,"")</f>
        <v/>
      </c>
      <c r="FM753" s="1554" t="str">
        <f t="shared" ref="FM753:FM790" si="149">IF(AND($C753=1, $N753="Mfd Home",NOT($P753="Yes")),$E753,"")</f>
        <v/>
      </c>
      <c r="FN753" s="1554" t="str">
        <f t="shared" ref="FN753:FN790" si="150">IF(AND($C753=2, $N753="Mfd Home",NOT($P753="Yes")),$E753,"")</f>
        <v/>
      </c>
      <c r="FO753" s="1554" t="str">
        <f t="shared" ref="FO753:FO790" si="151">IF(AND($C753=3, $N753="Mfd Home",NOT($P753="Yes")),$E753,"")</f>
        <v/>
      </c>
      <c r="FP753" s="1554" t="str">
        <f t="shared" ref="FP753:FP790" si="152">IF(AND($C753=4, $N753="Mfd Home",NOT($P753="Yes")),$E753,"")</f>
        <v/>
      </c>
      <c r="FQ753" s="1554" t="str">
        <f t="shared" ref="FQ753:FQ790" si="153">IF(AND($C753="Efficiency", $N753="Mfd Home",$P753="Yes"),$E753,"")</f>
        <v/>
      </c>
      <c r="FR753" s="1554" t="str">
        <f t="shared" ref="FR753:FR790" si="154">IF(AND($C753=1, $N753="Mfd Home",$P753="Yes"),$E753,"")</f>
        <v/>
      </c>
      <c r="FS753" s="1554" t="str">
        <f t="shared" ref="FS753:FS790" si="155">IF(AND($C753=2, $N753="Mfd Home",$P753="Yes"),$E753,"")</f>
        <v/>
      </c>
      <c r="FT753" s="1554" t="str">
        <f t="shared" ref="FT753:FT790" si="156">IF(AND($C753=3, $N753="Mfd Home",$P753="Yes"),$E753,"")</f>
        <v/>
      </c>
      <c r="FU753" s="1554" t="str">
        <f t="shared" ref="FU753:FU790" si="157">IF(AND($C753=4, $N753="Mfd Home",$P753="Yes"),$E753,"")</f>
        <v/>
      </c>
      <c r="FV753" s="1554" t="str">
        <f t="shared" ref="FV753:FV790" si="158">IF(AND($C753="Efficiency", $N753="Duplex",NOT($P753="Yes")),$E753,"")</f>
        <v/>
      </c>
      <c r="FW753" s="1554" t="str">
        <f t="shared" ref="FW753:FW790" si="159">IF(AND($C753=1, $N753="Duplex",NOT($P753="Yes")),$E753,"")</f>
        <v/>
      </c>
      <c r="FX753" s="1554" t="str">
        <f t="shared" ref="FX753:FX790" si="160">IF(AND($C753=2, $N753="Duplex",NOT($P753="Yes")),$E753,"")</f>
        <v/>
      </c>
      <c r="FY753" s="1554" t="str">
        <f t="shared" ref="FY753:FY790" si="161">IF(AND($C753=3, $N753="Duplex",NOT($P753="Yes")),$E753,"")</f>
        <v/>
      </c>
      <c r="FZ753" s="1554" t="str">
        <f t="shared" ref="FZ753:FZ790" si="162">IF(AND($C753=4, $N753="Duplex",NOT($P753="Yes")),$E753,"")</f>
        <v/>
      </c>
      <c r="GA753" s="1554" t="str">
        <f t="shared" ref="GA753:GA790" si="163">IF(AND($C753="Efficiency", $N753="Duplex",$P753="Yes"),$E753,"")</f>
        <v/>
      </c>
      <c r="GB753" s="1554" t="str">
        <f t="shared" ref="GB753:GB790" si="164">IF(AND($C753=1, $N753="Duplex",$P753="Yes"),$E753,"")</f>
        <v/>
      </c>
      <c r="GC753" s="1554" t="str">
        <f t="shared" ref="GC753:GC790" si="165">IF(AND($C753=2, $N753="Duplex",$P753="Yes"),$E753,"")</f>
        <v/>
      </c>
      <c r="GD753" s="1554" t="str">
        <f t="shared" ref="GD753:GD790" si="166">IF(AND($C753=3, $N753="Duplex",$P753="Yes"),$E753,"")</f>
        <v/>
      </c>
      <c r="GE753" s="1554" t="str">
        <f t="shared" ref="GE753:GE790" si="167">IF(AND($C753=4, $N753="Duplex",$P753="Yes"),$E753,"")</f>
        <v/>
      </c>
      <c r="GF753" s="1554" t="str">
        <f t="shared" ref="GF753:GF790" si="168">IF(AND($C753="Efficiency", $N753="Townhome",NOT($P753="Yes")),$E753,"")</f>
        <v/>
      </c>
      <c r="GG753" s="1554" t="str">
        <f t="shared" ref="GG753:GG790" si="169">IF(AND($C753=1, $N753="Townhome",NOT($P753="Yes")),$E753,"")</f>
        <v/>
      </c>
      <c r="GH753" s="1554" t="str">
        <f t="shared" ref="GH753:GH790" si="170">IF(AND($C753=2, $N753="Townhome",NOT($P753="Yes")),$E753,"")</f>
        <v/>
      </c>
      <c r="GI753" s="1554" t="str">
        <f t="shared" ref="GI753:GI790" si="171">IF(AND($C753=3, $N753="Townhome",NOT($P753="Yes")),$E753,"")</f>
        <v/>
      </c>
      <c r="GJ753" s="1554" t="str">
        <f t="shared" ref="GJ753:GJ790" si="172">IF(AND($C753=4, $N753="Townhome",NOT($P753="Yes")),$E753,"")</f>
        <v/>
      </c>
      <c r="GK753" s="1554" t="str">
        <f t="shared" ref="GK753:GK790" si="173">IF(AND($C753="Efficiency", $N753="Townhome",$P753="Yes"),$E753,"")</f>
        <v/>
      </c>
      <c r="GL753" s="1554" t="str">
        <f t="shared" ref="GL753:GL790" si="174">IF(AND($C753=1, $N753="Townhome",$P753="Yes"),$E753,"")</f>
        <v/>
      </c>
      <c r="GM753" s="1554" t="str">
        <f t="shared" ref="GM753:GM790" si="175">IF(AND($C753=2, $N753="Townhome",$P753="Yes"),$E753,"")</f>
        <v/>
      </c>
      <c r="GN753" s="1554" t="str">
        <f t="shared" ref="GN753:GN790" si="176">IF(AND($C753=3, $N753="Townhome",$P753="Yes"),$E753,"")</f>
        <v/>
      </c>
      <c r="GO753" s="1554" t="str">
        <f t="shared" ref="GO753:GO790" si="177">IF(AND($C753=4, $N753="Townhome",$P753="Yes"),$E753,"")</f>
        <v/>
      </c>
      <c r="GP753" s="1554" t="str">
        <f t="shared" ref="GP753:GP790" si="178">IF(AND($C753="Efficiency", $N753="1-Story",NOT($P753="Yes")),$E753,"")</f>
        <v/>
      </c>
      <c r="GQ753" s="1554" t="str">
        <f t="shared" ref="GQ753:GQ790" si="179">IF(AND($C753=1, $N753="1-Story",NOT($P753="Yes")),$E753,"")</f>
        <v/>
      </c>
      <c r="GR753" s="1554" t="str">
        <f t="shared" ref="GR753:GR790" si="180">IF(AND($C753=2, $N753="1-Story",NOT($P753="Yes")),$E753,"")</f>
        <v/>
      </c>
      <c r="GS753" s="1554" t="str">
        <f t="shared" ref="GS753:GS790" si="181">IF(AND($C753=3, $N753="1-Story",NOT($P753="Yes")),$E753,"")</f>
        <v/>
      </c>
      <c r="GT753" s="1554" t="str">
        <f t="shared" ref="GT753:GT790" si="182">IF(AND($C753=4, $N753="1-Story",NOT($P753="Yes")),$E753,"")</f>
        <v/>
      </c>
      <c r="GU753" s="1554" t="str">
        <f t="shared" ref="GU753:GU790" si="183">IF(AND($C753="Efficiency", $N753="1-Story",$P753="Yes"),$E753,"")</f>
        <v/>
      </c>
      <c r="GV753" s="1554" t="str">
        <f t="shared" ref="GV753:GV790" si="184">IF(AND($C753=1, $N753="1-Story",$P753="Yes"),$E753,"")</f>
        <v/>
      </c>
      <c r="GW753" s="1554" t="str">
        <f t="shared" ref="GW753:GW790" si="185">IF(AND($C753=2, $N753="1-Story",$P753="Yes"),$E753,"")</f>
        <v/>
      </c>
      <c r="GX753" s="1554" t="str">
        <f t="shared" ref="GX753:GX790" si="186">IF(AND($C753=3, $N753="1-Story",$P753="Yes"),$E753,"")</f>
        <v/>
      </c>
      <c r="GY753" s="1554" t="str">
        <f t="shared" ref="GY753:GY790" si="187">IF(AND($C753=4, $N753="1-Story",$P753="Yes"),$E753,"")</f>
        <v/>
      </c>
      <c r="GZ753" s="1554" t="str">
        <f t="shared" ref="GZ753:GZ790" si="188">IF(AND($C753="Efficiency", $N753="2-Story",NOT($P753="Yes")),$E753,"")</f>
        <v/>
      </c>
      <c r="HA753" s="1554" t="str">
        <f t="shared" ref="HA753:HA790" si="189">IF(AND($C753=1, $N753="2-Story",NOT($P753="Yes")),$E753,"")</f>
        <v/>
      </c>
      <c r="HB753" s="1554" t="str">
        <f t="shared" ref="HB753:HB790" si="190">IF(AND($C753=2, $N753="2-Story",NOT($P753="Yes")),$E753,"")</f>
        <v/>
      </c>
      <c r="HC753" s="1554" t="str">
        <f t="shared" ref="HC753:HC790" si="191">IF(AND($C753=3, $N753="2-Story",NOT($P753="Yes")),$E753,"")</f>
        <v/>
      </c>
      <c r="HD753" s="1554" t="str">
        <f t="shared" ref="HD753:HD790" si="192">IF(AND($C753=4, $N753="2-Story",NOT($P753="Yes")),$E753,"")</f>
        <v/>
      </c>
      <c r="HE753" s="1554" t="str">
        <f t="shared" ref="HE753:HE790" si="193">IF(AND($C753="Efficiency", $N753="2-Story",$P753="Yes"),$E753,"")</f>
        <v/>
      </c>
      <c r="HF753" s="1554" t="str">
        <f t="shared" ref="HF753:HF790" si="194">IF(AND($C753=1, $N753="2-Story",$P753="Yes"),$E753,"")</f>
        <v/>
      </c>
      <c r="HG753" s="1554" t="str">
        <f t="shared" ref="HG753:HG790" si="195">IF(AND($C753=2, $N753="2-Story",$P753="Yes"),$E753,"")</f>
        <v/>
      </c>
      <c r="HH753" s="1554" t="str">
        <f t="shared" ref="HH753:HH790" si="196">IF(AND($C753=3, $N753="2-Story",$P753="Yes"),$E753,"")</f>
        <v/>
      </c>
      <c r="HI753" s="1554" t="str">
        <f t="shared" ref="HI753:HI790" si="197">IF(AND($C753=4, $N753="2-Story",$P753="Yes"),$E753,"")</f>
        <v/>
      </c>
      <c r="HJ753" s="1554" t="str">
        <f t="shared" ref="HJ753:HJ790" si="198">IF(AND($C753="Efficiency", $N753="2-Story Walkup",NOT($P753="Yes")),$E753,"")</f>
        <v/>
      </c>
      <c r="HK753" s="1554" t="str">
        <f t="shared" ref="HK753:HK790" si="199">IF(AND($C753=1, $N753="2-Story Walkup",NOT($P753="Yes")),$E753,"")</f>
        <v/>
      </c>
      <c r="HL753" s="1554" t="str">
        <f t="shared" ref="HL753:HL790" si="200">IF(AND($C753=2, $N753="2-Story Walkup",NOT($P753="Yes")),$E753,"")</f>
        <v/>
      </c>
      <c r="HM753" s="1554" t="str">
        <f t="shared" ref="HM753:HM790" si="201">IF(AND($C753=3, $N753="2-Story Walkup",NOT($P753="Yes")),$E753,"")</f>
        <v/>
      </c>
      <c r="HN753" s="1554" t="str">
        <f t="shared" ref="HN753:HN790" si="202">IF(AND($C753=4, $N753="2-Story Walkup",NOT($P753="Yes")),$E753,"")</f>
        <v/>
      </c>
      <c r="HO753" s="1554" t="str">
        <f t="shared" ref="HO753:HO790" si="203">IF(AND($C753="Efficiency", $N753="2-Story Walkup",$P753="Yes"),$E753,"")</f>
        <v/>
      </c>
      <c r="HP753" s="1554" t="str">
        <f t="shared" ref="HP753:HP790" si="204">IF(AND($C753=1, $N753="2-Story Walkup",$P753="Yes"),$E753,"")</f>
        <v/>
      </c>
      <c r="HQ753" s="1554" t="str">
        <f t="shared" ref="HQ753:HQ790" si="205">IF(AND($C753=2, $N753="2-Story Walkup",$P753="Yes"),$E753,"")</f>
        <v/>
      </c>
      <c r="HR753" s="1554" t="str">
        <f t="shared" ref="HR753:HR790" si="206">IF(AND($C753=3, $N753="2-Story Walkup",$P753="Yes"),$E753,"")</f>
        <v/>
      </c>
      <c r="HS753" s="1554" t="str">
        <f t="shared" ref="HS753:HS790" si="207">IF(AND($C753=4, $N753="2-Story Walkup",$P753="Yes"),$E753,"")</f>
        <v/>
      </c>
      <c r="HT753" s="1554">
        <f t="shared" ref="HT753:HT790" si="208">IF(AND($C753="Efficiency", $N753="3+ Story",NOT($P753="Yes")),$E753,"")</f>
        <v>3</v>
      </c>
      <c r="HU753" s="1554" t="str">
        <f t="shared" ref="HU753:HU790" si="209">IF(AND($C753=1, $N753="3+ Story",NOT($P753="Yes")),$E753,"")</f>
        <v/>
      </c>
      <c r="HV753" s="1554" t="str">
        <f t="shared" ref="HV753:HV790" si="210">IF(AND($C753=2, $N753="3+ Story",NOT($P753="Yes")),$E753,"")</f>
        <v/>
      </c>
      <c r="HW753" s="1554" t="str">
        <f t="shared" ref="HW753:HW790" si="211">IF(AND($C753=3, $N753="3+ Story",NOT($P753="Yes")),$E753,"")</f>
        <v/>
      </c>
      <c r="HX753" s="1554" t="str">
        <f t="shared" ref="HX753:HX790" si="212">IF(AND($C753=4, $N753="3+ Story",NOT($P753="Yes")),$E753,"")</f>
        <v/>
      </c>
      <c r="HY753" s="1554" t="str">
        <f t="shared" ref="HY753:HY790" si="213">IF(AND($C753="Efficiency", $N753="3+ Story",$P753="Yes"),$E753,"")</f>
        <v/>
      </c>
      <c r="HZ753" s="1554" t="str">
        <f t="shared" ref="HZ753:HZ790" si="214">IF(AND($C753=1, $N753="3+ Story",$P753="Yes"),$E753,"")</f>
        <v/>
      </c>
      <c r="IA753" s="1554" t="str">
        <f t="shared" ref="IA753:IA790" si="215">IF(AND($C753=2, $N753="3+ Story",$P753="Yes"),$E753,"")</f>
        <v/>
      </c>
      <c r="IB753" s="1554" t="str">
        <f t="shared" ref="IB753:IB790" si="216">IF(AND($C753=3, $N753="3+ Story",$P753="Yes"),$E753,"")</f>
        <v/>
      </c>
      <c r="IC753" s="1554" t="str">
        <f t="shared" ref="IC753:IC790" si="217">IF(AND($C753=4, $N753="3+ Story",$P753="Yes"),$E753,"")</f>
        <v/>
      </c>
      <c r="ID753" s="31" t="str">
        <f t="shared" ref="ID753:ID790" si="218">IF(AND($B753="NSP 120% AMI",$C753="Efficiency", NOT($M753="Common Space")),$E753,"")</f>
        <v/>
      </c>
      <c r="IE753" s="31" t="str">
        <f t="shared" ref="IE753:IE790" si="219">IF(AND($B753="NSP 120% AMI",$C753=1,NOT($M753="Common Space")),$E753,"")</f>
        <v/>
      </c>
      <c r="IF753" s="31" t="str">
        <f t="shared" ref="IF753:IF790" si="220">IF(AND($B753="NSP 120% AMI",$C753=2,NOT($M753="Common Space")),$E753,"")</f>
        <v/>
      </c>
      <c r="IG753" s="31" t="str">
        <f t="shared" ref="IG753:IG790" si="221">IF(AND($B753="NSP 120% AMI",$C753=3,NOT($M753="Common Space")),$E753,"")</f>
        <v/>
      </c>
      <c r="IH753" s="31" t="str">
        <f t="shared" ref="IH753:IH790" si="222">IF(AND($B753="NSP 120% AMI",$C753=4,NOT($M753="Common Space")),$E753,"")</f>
        <v/>
      </c>
      <c r="II753" s="531" t="str">
        <f t="shared" ref="II753:II790" si="223">IF(AND(C753="Efficiency",B753="NSP 120% AMI",NOT(M753="Common Space")),E753*F753,"")</f>
        <v/>
      </c>
      <c r="IJ753" s="531" t="str">
        <f t="shared" ref="IJ753:IJ790" si="224">IF(AND(C753=1,B753="NSP 120% AMI",NOT(M753="Common Space")),E753*F753,"")</f>
        <v/>
      </c>
      <c r="IK753" s="531" t="str">
        <f t="shared" ref="IK753:IK790" si="225">IF(AND(C753=2,B753="NSP 120% AMI",NOT(M753="Common Space")),E753*F753,"")</f>
        <v/>
      </c>
      <c r="IL753" s="531" t="str">
        <f t="shared" ref="IL753:IL790" si="226">IF(AND(C753=3,B753="NSP 120% AMI",NOT(M753="Common Space")),E753*F753,"")</f>
        <v/>
      </c>
      <c r="IM753" s="531" t="str">
        <f t="shared" ref="IM753:IM790" si="227">IF(AND(C753=4,B753="NSP 120% AMI",NOT(M753="Common Space")),E753*F753,"")</f>
        <v/>
      </c>
      <c r="IN753" s="531" t="str">
        <f t="shared" ref="IN753:IN790" si="228">IF(AND($C753="Efficiency", $O753="New Construction",$B753="NSP 120% AMI",NOT($M753="Common Space")),$E753,"")</f>
        <v/>
      </c>
      <c r="IO753" s="531" t="str">
        <f t="shared" ref="IO753:IO790" si="229">IF(AND($C753=1, $O753="New Construction",$B753="NSP 120% AMI",NOT($M753="Common Space")),$E753,"")</f>
        <v/>
      </c>
      <c r="IP753" s="531" t="str">
        <f t="shared" ref="IP753:IP790" si="230">IF(AND($C753=2, $O753="New Construction",$B753="NSP 120% AMI",NOT($M753="Common Space")),$E753,"")</f>
        <v/>
      </c>
      <c r="IQ753" s="531" t="str">
        <f t="shared" ref="IQ753:IQ790" si="231">IF(AND($C753=3, $O753="New Construction",$B753="NSP 120% AMI",NOT($M753="Common Space")),$E753,"")</f>
        <v/>
      </c>
      <c r="IR753" s="531" t="str">
        <f t="shared" ref="IR753:IR790" si="232">IF(AND($C753=4, $O753="New Construction",$B753="NSP 120% AMI",NOT($M753="Common Space")),$E753,"")</f>
        <v/>
      </c>
      <c r="IS753" s="531" t="str">
        <f t="shared" ref="IS753:IS790" si="233">IF(AND($C753="Efficiency", $O753="Acquisition/Rehab",$B753="NSP 120% AMI",NOT($M753="Common Space")),$E753,"")</f>
        <v/>
      </c>
      <c r="IT753" s="531" t="str">
        <f t="shared" ref="IT753:IT790" si="234">IF(AND($C753=1, $O753="Acquisition/Rehab",$B753="NSP 120% AMI",NOT($M753="Common Space")),$E753,"")</f>
        <v/>
      </c>
      <c r="IU753" s="531" t="str">
        <f t="shared" ref="IU753:IU790" si="235">IF(AND($C753=2, $O753="Acquisition/Rehab",$B753="NSP 120% AMI",NOT($M753="Common Space")),$E753,"")</f>
        <v/>
      </c>
      <c r="IV753" s="531" t="str">
        <f t="shared" ref="IV753:IV790" si="236">IF(AND($C753=3, $O753="Acquisition/Rehab",$B753="NSP 120% AMI",NOT($M753="Common Space")),$E753,"")</f>
        <v/>
      </c>
      <c r="IW753" s="531" t="str">
        <f t="shared" ref="IW753:IW790" si="237">IF(AND($C753=4, $O753="Acquisition/Rehab",$B753="NSP 120% AMI",NOT($M753="Common Space")),$E753,"")</f>
        <v/>
      </c>
      <c r="IX753" s="531" t="str">
        <f t="shared" ref="IX753:IX790" si="238">IF(AND($C753="Efficiency", $O753="Rehabilitation",$B753="NSP 120% AMI",NOT($M753="Common Space")),$E753,"")</f>
        <v/>
      </c>
      <c r="IY753" s="531" t="str">
        <f t="shared" ref="IY753:IY790" si="239">IF(AND($C753=1, $O753="Rehabilitation",$B753="NSP 120% AMI",NOT($M753="Common Space")),$E753,"")</f>
        <v/>
      </c>
      <c r="IZ753" s="531" t="str">
        <f t="shared" ref="IZ753:IZ790" si="240">IF(AND($C753=2, $O753="Rehabilitation",$B753="NSP 120% AMI",NOT($M753="Common Space")),$E753,"")</f>
        <v/>
      </c>
      <c r="JA753" s="531" t="str">
        <f t="shared" ref="JA753:JA790" si="241">IF(AND($C753=3, $O753="Rehabilitation",$B753="NSP 120% AMI",NOT($M753="Common Space")),$E753,"")</f>
        <v/>
      </c>
      <c r="JB753" s="531" t="str">
        <f t="shared" ref="JB753:JB790" si="242">IF(AND($C753=4, $O753="Rehabilitation",$B753="NSP 120% AMI",NOT($M753="Common Space")),$E753,"")</f>
        <v/>
      </c>
      <c r="JC753" s="615">
        <f>IF(AND($C753="Efficiency",$E753&gt;0,OR($N753="1-Story",$N753="2-Story",$N753="3+ Story",$N753="2-Story Walkup",$N753="Townhome"),OR($O753="Acquisition/Rehab",$O753="Rehabilitation"),NOT($P753="Yes")),$E753,0)</f>
        <v>3</v>
      </c>
      <c r="JD753" s="615">
        <f>IF(AND($C753=1,$E753&gt;0,OR($N753="1-Story",$N753="2-Story",$N753="3+ Story",$N753="2-Story Walkup",$N753="Townhome"),OR($O753="Acquisition/Rehab",$O753="Rehabilitation"),NOT($P753="Yes")),$E753,0)</f>
        <v>0</v>
      </c>
      <c r="JE753" s="615">
        <f>IF(AND($C753=2,$E753&gt;0,OR($N753="1-Story",$N753="2-Story",$N753="3+ Story",$N753="2-Story Walkup",$N753="Townhome"),OR($O753="Acquisition/Rehab",$O753="Rehabilitation"),NOT($P753="Yes")),$E753,0)</f>
        <v>0</v>
      </c>
      <c r="JF753" s="615">
        <f>IF(AND($C753=3,$E753&gt;0,OR($N753="1-Story",$N753="2-Story",$N753="3+ Story",$N753="2-Story Walkup",$N753="Townhome"),OR($O753="Acquisition/Rehab",$O753="Rehabilitation"),NOT($P753="Yes")),$E753,0)</f>
        <v>0</v>
      </c>
      <c r="JG753" s="615">
        <f>IF(AND($C753=4,$E753&gt;0,OR($N753="1-Story",$N753="2-Story",$N753="3+ Story",$N753="2-Story Walkup",$N753="Townhome"),OR($O753="Acquisition/Rehab",$O753="Rehabilitation"),NOT($P753="Yes")),$E753,0)</f>
        <v>0</v>
      </c>
      <c r="JH753" s="615">
        <f>IF(AND($C753="Efficiency",$E753&gt;0,OR($N753="1-Story",$N753="2-Story",$N753="3+ Story",$N753="2-Story Walkup",$N753="Townhome"),$O753="New Construction"),$E753,0)</f>
        <v>0</v>
      </c>
      <c r="JI753" s="615">
        <f>IF(AND($C753=1,$E753&gt;0,OR($N753="1-Story",$N753="2-Story",$N753="3+ Story",$N753="2-Story Walkup",$N753="Townhome"),$O753="New Construction"),$E753,0)</f>
        <v>0</v>
      </c>
      <c r="JJ753" s="615">
        <f>IF(AND($C753=2,$E753&gt;0,OR($N753="1-Story",$N753="2-Story",$N753="3+ Story",$N753="2-Story Walkup",$N753="Townhome"),$O753="New Construction"),$E753,0)</f>
        <v>0</v>
      </c>
      <c r="JK753" s="615">
        <f>IF(AND($C753=3,$E753&gt;0,OR($N753="1-Story",$N753="2-Story",$N753="3+ Story",$N753="2-Story Walkup",$N753="Townhome"),$O753="New Construction"),$E753,0)</f>
        <v>0</v>
      </c>
      <c r="JL753" s="615">
        <f>IF(AND($C753=4,$E753&gt;0,OR($N753="1-Story",$N753="2-Story",$N753="3+ Story",$N753="2-Story Walkup",$N753="Townhome"),$O753="New Construction"),$E753,0)</f>
        <v>0</v>
      </c>
      <c r="JM753" s="615">
        <f>IF(AND($C753="Efficiency",$E753&gt;0,OR($N753="SF Detached",$N753="Duplex",$N753="Mfd Home"),NOT($P753="Yes")),$E753,0)</f>
        <v>0</v>
      </c>
      <c r="JN753" s="615">
        <f>IF(AND($C753=1,$E753&gt;0,OR($N753="SF Detached",$N753="Duplex",$N753="Mfd Home"),NOT($P753="Yes")),$E753,0)</f>
        <v>0</v>
      </c>
      <c r="JO753" s="615">
        <f>IF(AND($C753=2,$E753&gt;0,OR($N753="SF Detached",$N753="Duplex",$N753="Mfd Home"),NOT($P753="Yes")),$E753,0)</f>
        <v>0</v>
      </c>
      <c r="JP753" s="615">
        <f>IF(AND($C753=3,$E753&gt;0,OR($N753="SF Detached",$N753="Duplex",$N753="Mfd Home"),NOT($P753="Yes")),$E753,0)</f>
        <v>0</v>
      </c>
      <c r="JQ753" s="615">
        <f>IF(AND($C753=4,$E753&gt;0,OR($N753="SF Detached",$N753="Duplex",$N753="Mfd Home"),NOT($P753="Yes")),$E753,0)</f>
        <v>0</v>
      </c>
    </row>
    <row r="754" spans="1:277" ht="12" customHeight="1">
      <c r="A754" s="1190" t="str">
        <f t="shared" si="0"/>
        <v/>
      </c>
      <c r="B754" s="1545" t="str">
        <f>'Part VI-Revenues &amp; Expenses'!B11</f>
        <v>60% AMI</v>
      </c>
      <c r="C754" s="1546">
        <f>'Part VI-Revenues &amp; Expenses'!C11</f>
        <v>1</v>
      </c>
      <c r="D754" s="1547">
        <f>'Part VI-Revenues &amp; Expenses'!D11</f>
        <v>1</v>
      </c>
      <c r="E754" s="1548">
        <f>'Part VI-Revenues &amp; Expenses'!E11</f>
        <v>39</v>
      </c>
      <c r="F754" s="1548">
        <f>'Part VI-Revenues &amp; Expenses'!F11</f>
        <v>501</v>
      </c>
      <c r="G754" s="1548">
        <f>'Part VI-Revenues &amp; Expenses'!G11</f>
        <v>759</v>
      </c>
      <c r="H754" s="1548">
        <f>'Part VI-Revenues &amp; Expenses'!H11</f>
        <v>1000</v>
      </c>
      <c r="I754" s="1548">
        <f>'Part VI-Revenues &amp; Expenses'!I11</f>
        <v>0</v>
      </c>
      <c r="J754" s="1549" t="str">
        <f>'Part VI-Revenues &amp; Expenses'!J11</f>
        <v>HUD</v>
      </c>
      <c r="K754" s="1550">
        <f t="shared" si="1"/>
        <v>1000</v>
      </c>
      <c r="L754" s="1550">
        <f t="shared" si="2"/>
        <v>39000</v>
      </c>
      <c r="M754" s="1551" t="str">
        <f>'Part VI-Revenues &amp; Expenses'!M11</f>
        <v>No</v>
      </c>
      <c r="N754" s="1551" t="str">
        <f>'Part VI-Revenues &amp; Expenses'!N11</f>
        <v>3+ Story</v>
      </c>
      <c r="O754" s="1551" t="str">
        <f>'Part VI-Revenues &amp; Expenses'!O11</f>
        <v>Acquisition/Rehab</v>
      </c>
      <c r="P754" s="1406" t="str">
        <f>'Part VI-Revenues &amp; Expenses'!P11</f>
        <v>No</v>
      </c>
      <c r="Q754" s="1552">
        <f>'Part VI-Revenues &amp; Expenses'!Q11</f>
        <v>40000</v>
      </c>
      <c r="R754" s="1553">
        <f>'Part VI-Revenues &amp; Expenses'!R11</f>
        <v>0.78086871644704736</v>
      </c>
      <c r="S754" s="1552">
        <f>'Part VI-Revenues &amp; Expenses'!S11</f>
        <v>0</v>
      </c>
      <c r="T754" s="1553">
        <f>'Part VI-Revenues &amp; Expenses'!T11</f>
        <v>0</v>
      </c>
      <c r="U754" s="1477"/>
      <c r="V754" s="1477"/>
      <c r="W754" s="531" t="str">
        <f t="shared" si="3"/>
        <v/>
      </c>
      <c r="X754" s="531">
        <f t="shared" si="4"/>
        <v>39</v>
      </c>
      <c r="Y754" s="531" t="str">
        <f t="shared" si="5"/>
        <v/>
      </c>
      <c r="Z754" s="531" t="str">
        <f t="shared" si="6"/>
        <v/>
      </c>
      <c r="AA754" s="531" t="str">
        <f t="shared" si="7"/>
        <v/>
      </c>
      <c r="AB754" s="531" t="str">
        <f t="shared" si="8"/>
        <v/>
      </c>
      <c r="AC754" s="531" t="str">
        <f t="shared" si="9"/>
        <v/>
      </c>
      <c r="AD754" s="531" t="str">
        <f t="shared" si="10"/>
        <v/>
      </c>
      <c r="AE754" s="531" t="str">
        <f t="shared" si="11"/>
        <v/>
      </c>
      <c r="AF754" s="531" t="str">
        <f t="shared" si="12"/>
        <v/>
      </c>
      <c r="AG754" s="531" t="str">
        <f t="shared" si="13"/>
        <v/>
      </c>
      <c r="AH754" s="531" t="str">
        <f t="shared" si="14"/>
        <v/>
      </c>
      <c r="AI754" s="531" t="str">
        <f t="shared" si="15"/>
        <v/>
      </c>
      <c r="AJ754" s="531" t="str">
        <f t="shared" si="16"/>
        <v/>
      </c>
      <c r="AK754" s="531" t="str">
        <f t="shared" si="17"/>
        <v/>
      </c>
      <c r="AL754" s="531" t="str">
        <f t="shared" si="18"/>
        <v/>
      </c>
      <c r="AM754" s="531" t="str">
        <f t="shared" si="19"/>
        <v/>
      </c>
      <c r="AN754" s="531" t="str">
        <f t="shared" si="20"/>
        <v/>
      </c>
      <c r="AO754" s="531" t="str">
        <f t="shared" si="21"/>
        <v/>
      </c>
      <c r="AP754" s="531" t="str">
        <f t="shared" si="22"/>
        <v/>
      </c>
      <c r="AQ754" s="531" t="str">
        <f t="shared" si="23"/>
        <v/>
      </c>
      <c r="AR754" s="531" t="str">
        <f t="shared" si="24"/>
        <v/>
      </c>
      <c r="AS754" s="531" t="str">
        <f t="shared" si="25"/>
        <v/>
      </c>
      <c r="AT754" s="531" t="str">
        <f t="shared" si="26"/>
        <v/>
      </c>
      <c r="AU754" s="531" t="str">
        <f t="shared" si="27"/>
        <v/>
      </c>
      <c r="AV754" s="531" t="str">
        <f t="shared" si="28"/>
        <v/>
      </c>
      <c r="AW754" s="531" t="str">
        <f t="shared" si="29"/>
        <v/>
      </c>
      <c r="AX754" s="531" t="str">
        <f t="shared" si="30"/>
        <v/>
      </c>
      <c r="AY754" s="531" t="str">
        <f t="shared" si="31"/>
        <v/>
      </c>
      <c r="AZ754" s="531" t="str">
        <f t="shared" si="32"/>
        <v/>
      </c>
      <c r="BA754" s="531" t="str">
        <f t="shared" si="33"/>
        <v/>
      </c>
      <c r="BB754" s="531">
        <f t="shared" si="34"/>
        <v>39</v>
      </c>
      <c r="BC754" s="531" t="str">
        <f t="shared" si="35"/>
        <v/>
      </c>
      <c r="BD754" s="531" t="str">
        <f t="shared" si="36"/>
        <v/>
      </c>
      <c r="BE754" s="531" t="str">
        <f t="shared" si="37"/>
        <v/>
      </c>
      <c r="BF754" s="531" t="str">
        <f t="shared" si="38"/>
        <v/>
      </c>
      <c r="BG754" s="531" t="str">
        <f t="shared" si="39"/>
        <v/>
      </c>
      <c r="BH754" s="531" t="str">
        <f t="shared" si="40"/>
        <v/>
      </c>
      <c r="BI754" s="531" t="str">
        <f t="shared" si="41"/>
        <v/>
      </c>
      <c r="BJ754" s="531" t="str">
        <f t="shared" si="42"/>
        <v/>
      </c>
      <c r="BK754" s="531" t="str">
        <f t="shared" si="43"/>
        <v/>
      </c>
      <c r="BL754" s="531" t="str">
        <f t="shared" si="44"/>
        <v/>
      </c>
      <c r="BM754" s="531" t="str">
        <f t="shared" si="45"/>
        <v/>
      </c>
      <c r="BN754" s="531" t="str">
        <f t="shared" si="46"/>
        <v/>
      </c>
      <c r="BO754" s="531" t="str">
        <f t="shared" si="47"/>
        <v/>
      </c>
      <c r="BP754" s="531" t="str">
        <f t="shared" si="48"/>
        <v/>
      </c>
      <c r="BQ754" s="531" t="str">
        <f t="shared" si="49"/>
        <v/>
      </c>
      <c r="BR754" s="531" t="str">
        <f t="shared" si="50"/>
        <v/>
      </c>
      <c r="BS754" s="531" t="str">
        <f t="shared" si="51"/>
        <v/>
      </c>
      <c r="BT754" s="531" t="str">
        <f t="shared" si="52"/>
        <v/>
      </c>
      <c r="BU754" s="531" t="str">
        <f t="shared" si="53"/>
        <v/>
      </c>
      <c r="BV754" s="531" t="str">
        <f t="shared" si="54"/>
        <v/>
      </c>
      <c r="BW754" s="531" t="str">
        <f t="shared" si="55"/>
        <v/>
      </c>
      <c r="BX754" s="531" t="str">
        <f t="shared" si="56"/>
        <v/>
      </c>
      <c r="BY754" s="531" t="str">
        <f t="shared" si="57"/>
        <v/>
      </c>
      <c r="BZ754" s="531" t="str">
        <f t="shared" si="58"/>
        <v/>
      </c>
      <c r="CA754" s="531">
        <f t="shared" si="59"/>
        <v>19539</v>
      </c>
      <c r="CB754" s="531" t="str">
        <f t="shared" si="60"/>
        <v/>
      </c>
      <c r="CC754" s="531" t="str">
        <f t="shared" si="61"/>
        <v/>
      </c>
      <c r="CD754" s="531" t="str">
        <f t="shared" si="62"/>
        <v/>
      </c>
      <c r="CE754" s="531" t="str">
        <f t="shared" si="63"/>
        <v/>
      </c>
      <c r="CF754" s="531" t="str">
        <f t="shared" si="64"/>
        <v/>
      </c>
      <c r="CG754" s="531" t="str">
        <f t="shared" si="65"/>
        <v/>
      </c>
      <c r="CH754" s="531" t="str">
        <f t="shared" si="66"/>
        <v/>
      </c>
      <c r="CI754" s="531" t="str">
        <f t="shared" si="67"/>
        <v/>
      </c>
      <c r="CJ754" s="531" t="str">
        <f t="shared" si="68"/>
        <v/>
      </c>
      <c r="CK754" s="531" t="str">
        <f t="shared" si="69"/>
        <v/>
      </c>
      <c r="CL754" s="531" t="str">
        <f t="shared" si="70"/>
        <v/>
      </c>
      <c r="CM754" s="531" t="str">
        <f t="shared" si="71"/>
        <v/>
      </c>
      <c r="CN754" s="531" t="str">
        <f t="shared" si="72"/>
        <v/>
      </c>
      <c r="CO754" s="531" t="str">
        <f t="shared" si="73"/>
        <v/>
      </c>
      <c r="CP754" s="531" t="str">
        <f t="shared" si="74"/>
        <v/>
      </c>
      <c r="CQ754" s="531" t="str">
        <f t="shared" si="75"/>
        <v/>
      </c>
      <c r="CR754" s="531" t="str">
        <f t="shared" si="76"/>
        <v/>
      </c>
      <c r="CS754" s="531" t="str">
        <f t="shared" si="77"/>
        <v/>
      </c>
      <c r="CT754" s="531" t="str">
        <f t="shared" si="78"/>
        <v/>
      </c>
      <c r="CU754" s="531">
        <f t="shared" si="79"/>
        <v>19539</v>
      </c>
      <c r="CV754" s="531" t="str">
        <f t="shared" si="80"/>
        <v/>
      </c>
      <c r="CW754" s="531" t="str">
        <f t="shared" si="81"/>
        <v/>
      </c>
      <c r="CX754" s="531" t="str">
        <f t="shared" si="82"/>
        <v/>
      </c>
      <c r="CY754" s="531" t="str">
        <f t="shared" si="83"/>
        <v/>
      </c>
      <c r="CZ754" s="531" t="str">
        <f t="shared" si="84"/>
        <v/>
      </c>
      <c r="DA754" s="531" t="str">
        <f t="shared" si="85"/>
        <v/>
      </c>
      <c r="DB754" s="531" t="str">
        <f t="shared" si="86"/>
        <v/>
      </c>
      <c r="DC754" s="531" t="str">
        <f t="shared" si="87"/>
        <v/>
      </c>
      <c r="DD754" s="531" t="str">
        <f t="shared" si="88"/>
        <v/>
      </c>
      <c r="DE754" s="531" t="str">
        <f t="shared" si="89"/>
        <v/>
      </c>
      <c r="DF754" s="531" t="str">
        <f t="shared" si="90"/>
        <v/>
      </c>
      <c r="DG754" s="531" t="str">
        <f t="shared" si="91"/>
        <v/>
      </c>
      <c r="DH754" s="531" t="str">
        <f t="shared" si="92"/>
        <v/>
      </c>
      <c r="DI754" s="531" t="str">
        <f t="shared" si="93"/>
        <v/>
      </c>
      <c r="DJ754" s="531" t="str">
        <f t="shared" si="94"/>
        <v/>
      </c>
      <c r="DK754" s="531" t="str">
        <f t="shared" si="95"/>
        <v/>
      </c>
      <c r="DL754" s="531" t="str">
        <f t="shared" si="96"/>
        <v/>
      </c>
      <c r="DM754" s="531" t="str">
        <f t="shared" si="97"/>
        <v/>
      </c>
      <c r="DN754" s="531" t="str">
        <f t="shared" si="98"/>
        <v/>
      </c>
      <c r="DO754" s="531" t="str">
        <f t="shared" si="99"/>
        <v/>
      </c>
      <c r="DP754" s="531" t="str">
        <f t="shared" si="100"/>
        <v/>
      </c>
      <c r="DQ754" s="531" t="str">
        <f t="shared" si="101"/>
        <v/>
      </c>
      <c r="DR754" s="531" t="str">
        <f t="shared" si="102"/>
        <v/>
      </c>
      <c r="DS754" s="531" t="str">
        <f t="shared" si="103"/>
        <v/>
      </c>
      <c r="DT754" s="531">
        <f t="shared" si="104"/>
        <v>39</v>
      </c>
      <c r="DU754" s="531" t="str">
        <f t="shared" si="105"/>
        <v/>
      </c>
      <c r="DV754" s="531" t="str">
        <f t="shared" si="106"/>
        <v/>
      </c>
      <c r="DW754" s="531" t="str">
        <f t="shared" si="107"/>
        <v/>
      </c>
      <c r="DX754" s="531" t="str">
        <f t="shared" si="108"/>
        <v/>
      </c>
      <c r="DY754" s="531" t="str">
        <f t="shared" si="109"/>
        <v/>
      </c>
      <c r="DZ754" s="531" t="str">
        <f t="shared" si="110"/>
        <v/>
      </c>
      <c r="EA754" s="531" t="str">
        <f t="shared" si="111"/>
        <v/>
      </c>
      <c r="EB754" s="531" t="str">
        <f t="shared" si="112"/>
        <v/>
      </c>
      <c r="EC754" s="531" t="str">
        <f t="shared" si="113"/>
        <v/>
      </c>
      <c r="ED754" s="531" t="str">
        <f t="shared" si="114"/>
        <v/>
      </c>
      <c r="EE754" s="531" t="str">
        <f t="shared" si="115"/>
        <v/>
      </c>
      <c r="EF754" s="531" t="str">
        <f t="shared" si="116"/>
        <v/>
      </c>
      <c r="EG754" s="531" t="str">
        <f t="shared" si="117"/>
        <v/>
      </c>
      <c r="EH754" s="531" t="str">
        <f t="shared" si="118"/>
        <v/>
      </c>
      <c r="EI754" s="531" t="str">
        <f t="shared" si="119"/>
        <v/>
      </c>
      <c r="EJ754" s="531" t="str">
        <f t="shared" si="120"/>
        <v/>
      </c>
      <c r="EK754" s="531" t="str">
        <f t="shared" si="121"/>
        <v/>
      </c>
      <c r="EL754" s="531" t="str">
        <f t="shared" si="122"/>
        <v/>
      </c>
      <c r="EM754" s="531" t="str">
        <f t="shared" si="123"/>
        <v/>
      </c>
      <c r="EN754" s="531" t="str">
        <f t="shared" si="124"/>
        <v/>
      </c>
      <c r="EO754" s="531" t="str">
        <f t="shared" si="125"/>
        <v/>
      </c>
      <c r="EP754" s="531" t="str">
        <f t="shared" si="126"/>
        <v/>
      </c>
      <c r="EQ754" s="531" t="str">
        <f t="shared" si="127"/>
        <v/>
      </c>
      <c r="ER754" s="531" t="str">
        <f t="shared" si="128"/>
        <v/>
      </c>
      <c r="ES754" s="531" t="str">
        <f t="shared" si="129"/>
        <v/>
      </c>
      <c r="ET754" s="531" t="str">
        <f t="shared" si="130"/>
        <v/>
      </c>
      <c r="EU754" s="531" t="str">
        <f t="shared" si="131"/>
        <v/>
      </c>
      <c r="EV754" s="531" t="str">
        <f t="shared" si="132"/>
        <v/>
      </c>
      <c r="EW754" s="1554" t="str">
        <f t="shared" si="133"/>
        <v/>
      </c>
      <c r="EX754" s="1554">
        <f t="shared" si="134"/>
        <v>39</v>
      </c>
      <c r="EY754" s="1554" t="str">
        <f t="shared" si="135"/>
        <v/>
      </c>
      <c r="EZ754" s="1554" t="str">
        <f t="shared" si="136"/>
        <v/>
      </c>
      <c r="FA754" s="1554" t="str">
        <f t="shared" si="137"/>
        <v/>
      </c>
      <c r="FB754" s="1554" t="str">
        <f t="shared" si="138"/>
        <v/>
      </c>
      <c r="FC754" s="1554" t="str">
        <f t="shared" si="139"/>
        <v/>
      </c>
      <c r="FD754" s="1554" t="str">
        <f t="shared" si="140"/>
        <v/>
      </c>
      <c r="FE754" s="1554" t="str">
        <f t="shared" si="141"/>
        <v/>
      </c>
      <c r="FF754" s="1554" t="str">
        <f t="shared" si="142"/>
        <v/>
      </c>
      <c r="FG754" s="1554" t="str">
        <f t="shared" si="143"/>
        <v/>
      </c>
      <c r="FH754" s="1554" t="str">
        <f t="shared" si="144"/>
        <v/>
      </c>
      <c r="FI754" s="1554" t="str">
        <f t="shared" si="145"/>
        <v/>
      </c>
      <c r="FJ754" s="1554" t="str">
        <f t="shared" si="146"/>
        <v/>
      </c>
      <c r="FK754" s="1554" t="str">
        <f t="shared" si="147"/>
        <v/>
      </c>
      <c r="FL754" s="1554" t="str">
        <f t="shared" si="148"/>
        <v/>
      </c>
      <c r="FM754" s="1554" t="str">
        <f t="shared" si="149"/>
        <v/>
      </c>
      <c r="FN754" s="1554" t="str">
        <f t="shared" si="150"/>
        <v/>
      </c>
      <c r="FO754" s="1554" t="str">
        <f t="shared" si="151"/>
        <v/>
      </c>
      <c r="FP754" s="1554" t="str">
        <f t="shared" si="152"/>
        <v/>
      </c>
      <c r="FQ754" s="1554" t="str">
        <f t="shared" si="153"/>
        <v/>
      </c>
      <c r="FR754" s="1554" t="str">
        <f t="shared" si="154"/>
        <v/>
      </c>
      <c r="FS754" s="1554" t="str">
        <f t="shared" si="155"/>
        <v/>
      </c>
      <c r="FT754" s="1554" t="str">
        <f t="shared" si="156"/>
        <v/>
      </c>
      <c r="FU754" s="1554" t="str">
        <f t="shared" si="157"/>
        <v/>
      </c>
      <c r="FV754" s="1554" t="str">
        <f t="shared" si="158"/>
        <v/>
      </c>
      <c r="FW754" s="1554" t="str">
        <f t="shared" si="159"/>
        <v/>
      </c>
      <c r="FX754" s="1554" t="str">
        <f t="shared" si="160"/>
        <v/>
      </c>
      <c r="FY754" s="1554" t="str">
        <f t="shared" si="161"/>
        <v/>
      </c>
      <c r="FZ754" s="1554" t="str">
        <f t="shared" si="162"/>
        <v/>
      </c>
      <c r="GA754" s="1554" t="str">
        <f t="shared" si="163"/>
        <v/>
      </c>
      <c r="GB754" s="1554" t="str">
        <f t="shared" si="164"/>
        <v/>
      </c>
      <c r="GC754" s="1554" t="str">
        <f t="shared" si="165"/>
        <v/>
      </c>
      <c r="GD754" s="1554" t="str">
        <f t="shared" si="166"/>
        <v/>
      </c>
      <c r="GE754" s="1554" t="str">
        <f t="shared" si="167"/>
        <v/>
      </c>
      <c r="GF754" s="1554" t="str">
        <f t="shared" si="168"/>
        <v/>
      </c>
      <c r="GG754" s="1554" t="str">
        <f t="shared" si="169"/>
        <v/>
      </c>
      <c r="GH754" s="1554" t="str">
        <f t="shared" si="170"/>
        <v/>
      </c>
      <c r="GI754" s="1554" t="str">
        <f t="shared" si="171"/>
        <v/>
      </c>
      <c r="GJ754" s="1554" t="str">
        <f t="shared" si="172"/>
        <v/>
      </c>
      <c r="GK754" s="1554" t="str">
        <f t="shared" si="173"/>
        <v/>
      </c>
      <c r="GL754" s="1554" t="str">
        <f t="shared" si="174"/>
        <v/>
      </c>
      <c r="GM754" s="1554" t="str">
        <f t="shared" si="175"/>
        <v/>
      </c>
      <c r="GN754" s="1554" t="str">
        <f t="shared" si="176"/>
        <v/>
      </c>
      <c r="GO754" s="1554" t="str">
        <f t="shared" si="177"/>
        <v/>
      </c>
      <c r="GP754" s="1554" t="str">
        <f t="shared" si="178"/>
        <v/>
      </c>
      <c r="GQ754" s="1554" t="str">
        <f t="shared" si="179"/>
        <v/>
      </c>
      <c r="GR754" s="1554" t="str">
        <f t="shared" si="180"/>
        <v/>
      </c>
      <c r="GS754" s="1554" t="str">
        <f t="shared" si="181"/>
        <v/>
      </c>
      <c r="GT754" s="1554" t="str">
        <f t="shared" si="182"/>
        <v/>
      </c>
      <c r="GU754" s="1554" t="str">
        <f t="shared" si="183"/>
        <v/>
      </c>
      <c r="GV754" s="1554" t="str">
        <f t="shared" si="184"/>
        <v/>
      </c>
      <c r="GW754" s="1554" t="str">
        <f t="shared" si="185"/>
        <v/>
      </c>
      <c r="GX754" s="1554" t="str">
        <f t="shared" si="186"/>
        <v/>
      </c>
      <c r="GY754" s="1554" t="str">
        <f t="shared" si="187"/>
        <v/>
      </c>
      <c r="GZ754" s="1554" t="str">
        <f t="shared" si="188"/>
        <v/>
      </c>
      <c r="HA754" s="1554" t="str">
        <f t="shared" si="189"/>
        <v/>
      </c>
      <c r="HB754" s="1554" t="str">
        <f t="shared" si="190"/>
        <v/>
      </c>
      <c r="HC754" s="1554" t="str">
        <f t="shared" si="191"/>
        <v/>
      </c>
      <c r="HD754" s="1554" t="str">
        <f t="shared" si="192"/>
        <v/>
      </c>
      <c r="HE754" s="1554" t="str">
        <f t="shared" si="193"/>
        <v/>
      </c>
      <c r="HF754" s="1554" t="str">
        <f t="shared" si="194"/>
        <v/>
      </c>
      <c r="HG754" s="1554" t="str">
        <f t="shared" si="195"/>
        <v/>
      </c>
      <c r="HH754" s="1554" t="str">
        <f t="shared" si="196"/>
        <v/>
      </c>
      <c r="HI754" s="1554" t="str">
        <f t="shared" si="197"/>
        <v/>
      </c>
      <c r="HJ754" s="1554" t="str">
        <f t="shared" si="198"/>
        <v/>
      </c>
      <c r="HK754" s="1554" t="str">
        <f t="shared" si="199"/>
        <v/>
      </c>
      <c r="HL754" s="1554" t="str">
        <f t="shared" si="200"/>
        <v/>
      </c>
      <c r="HM754" s="1554" t="str">
        <f t="shared" si="201"/>
        <v/>
      </c>
      <c r="HN754" s="1554" t="str">
        <f t="shared" si="202"/>
        <v/>
      </c>
      <c r="HO754" s="1554" t="str">
        <f t="shared" si="203"/>
        <v/>
      </c>
      <c r="HP754" s="1554" t="str">
        <f t="shared" si="204"/>
        <v/>
      </c>
      <c r="HQ754" s="1554" t="str">
        <f t="shared" si="205"/>
        <v/>
      </c>
      <c r="HR754" s="1554" t="str">
        <f t="shared" si="206"/>
        <v/>
      </c>
      <c r="HS754" s="1554" t="str">
        <f t="shared" si="207"/>
        <v/>
      </c>
      <c r="HT754" s="1554" t="str">
        <f t="shared" si="208"/>
        <v/>
      </c>
      <c r="HU754" s="1554">
        <f t="shared" si="209"/>
        <v>39</v>
      </c>
      <c r="HV754" s="1554" t="str">
        <f t="shared" si="210"/>
        <v/>
      </c>
      <c r="HW754" s="1554" t="str">
        <f t="shared" si="211"/>
        <v/>
      </c>
      <c r="HX754" s="1554" t="str">
        <f t="shared" si="212"/>
        <v/>
      </c>
      <c r="HY754" s="1554" t="str">
        <f t="shared" si="213"/>
        <v/>
      </c>
      <c r="HZ754" s="1554" t="str">
        <f t="shared" si="214"/>
        <v/>
      </c>
      <c r="IA754" s="1554" t="str">
        <f t="shared" si="215"/>
        <v/>
      </c>
      <c r="IB754" s="1554" t="str">
        <f t="shared" si="216"/>
        <v/>
      </c>
      <c r="IC754" s="1554" t="str">
        <f t="shared" si="217"/>
        <v/>
      </c>
      <c r="ID754" s="31" t="str">
        <f t="shared" si="218"/>
        <v/>
      </c>
      <c r="IE754" s="31" t="str">
        <f t="shared" si="219"/>
        <v/>
      </c>
      <c r="IF754" s="31" t="str">
        <f t="shared" si="220"/>
        <v/>
      </c>
      <c r="IG754" s="31" t="str">
        <f t="shared" si="221"/>
        <v/>
      </c>
      <c r="IH754" s="31" t="str">
        <f t="shared" si="222"/>
        <v/>
      </c>
      <c r="II754" s="531" t="str">
        <f t="shared" si="223"/>
        <v/>
      </c>
      <c r="IJ754" s="531" t="str">
        <f t="shared" si="224"/>
        <v/>
      </c>
      <c r="IK754" s="531" t="str">
        <f t="shared" si="225"/>
        <v/>
      </c>
      <c r="IL754" s="531" t="str">
        <f t="shared" si="226"/>
        <v/>
      </c>
      <c r="IM754" s="531" t="str">
        <f t="shared" si="227"/>
        <v/>
      </c>
      <c r="IN754" s="531" t="str">
        <f t="shared" si="228"/>
        <v/>
      </c>
      <c r="IO754" s="531" t="str">
        <f t="shared" si="229"/>
        <v/>
      </c>
      <c r="IP754" s="531" t="str">
        <f t="shared" si="230"/>
        <v/>
      </c>
      <c r="IQ754" s="531" t="str">
        <f t="shared" si="231"/>
        <v/>
      </c>
      <c r="IR754" s="531" t="str">
        <f t="shared" si="232"/>
        <v/>
      </c>
      <c r="IS754" s="531" t="str">
        <f t="shared" si="233"/>
        <v/>
      </c>
      <c r="IT754" s="531" t="str">
        <f t="shared" si="234"/>
        <v/>
      </c>
      <c r="IU754" s="531" t="str">
        <f t="shared" si="235"/>
        <v/>
      </c>
      <c r="IV754" s="531" t="str">
        <f t="shared" si="236"/>
        <v/>
      </c>
      <c r="IW754" s="531" t="str">
        <f t="shared" si="237"/>
        <v/>
      </c>
      <c r="IX754" s="531" t="str">
        <f t="shared" si="238"/>
        <v/>
      </c>
      <c r="IY754" s="531" t="str">
        <f t="shared" si="239"/>
        <v/>
      </c>
      <c r="IZ754" s="531" t="str">
        <f t="shared" si="240"/>
        <v/>
      </c>
      <c r="JA754" s="531" t="str">
        <f t="shared" si="241"/>
        <v/>
      </c>
      <c r="JB754" s="531" t="str">
        <f t="shared" si="242"/>
        <v/>
      </c>
      <c r="JC754" s="615">
        <f t="shared" ref="JC754:JC790" si="243">IF(AND($C754="Efficiency",$E754&gt;0,OR($N754="1-Story",$N754="2-Story",$N754="3+ Story",$N754="2-Story Walkup",$N754="Townhome"),OR($O754="Acquisition/Rehab",$O754="Rehabilitation"),NOT($P754="Yes")),$E754,0)</f>
        <v>0</v>
      </c>
      <c r="JD754" s="615">
        <f t="shared" ref="JD754:JD790" si="244">IF(AND($C754=1,$E754&gt;0,OR($N754="1-Story",$N754="2-Story",$N754="3+ Story",$N754="2-Story Walkup",$N754="Townhome"),OR($O754="Acquisition/Rehab",$O754="Rehabilitation"),NOT($P754="Yes")),$E754,0)</f>
        <v>39</v>
      </c>
      <c r="JE754" s="615">
        <f t="shared" ref="JE754:JE790" si="245">IF(AND($C754=2,$E754&gt;0,OR($N754="1-Story",$N754="2-Story",$N754="3+ Story",$N754="2-Story Walkup",$N754="Townhome"),OR($O754="Acquisition/Rehab",$O754="Rehabilitation"),NOT($P754="Yes")),$E754,0)</f>
        <v>0</v>
      </c>
      <c r="JF754" s="615">
        <f t="shared" ref="JF754:JF790" si="246">IF(AND($C754=3,$E754&gt;0,OR($N754="1-Story",$N754="2-Story",$N754="3+ Story",$N754="2-Story Walkup",$N754="Townhome"),OR($O754="Acquisition/Rehab",$O754="Rehabilitation"),NOT($P754="Yes")),$E754,0)</f>
        <v>0</v>
      </c>
      <c r="JG754" s="615">
        <f t="shared" ref="JG754:JG790" si="247">IF(AND($C754=4,$E754&gt;0,OR($N754="1-Story",$N754="2-Story",$N754="3+ Story",$N754="2-Story Walkup",$N754="Townhome"),OR($O754="Acquisition/Rehab",$O754="Rehabilitation"),NOT($P754="Yes")),$E754,0)</f>
        <v>0</v>
      </c>
      <c r="JH754" s="615">
        <f t="shared" ref="JH754:JH790" si="248">IF(AND($C754="Efficiency",$E754&gt;0,OR($N754="1-Story",$N754="2-Story",$N754="3+ Story",$N754="2-Story Walkup",$N754="Townhome"),$O754="New Construction"),$E754,0)</f>
        <v>0</v>
      </c>
      <c r="JI754" s="615">
        <f t="shared" ref="JI754:JI790" si="249">IF(AND($C754=1,$E754&gt;0,OR($N754="1-Story",$N754="2-Story",$N754="3+ Story",$N754="2-Story Walkup",$N754="Townhome"),$O754="New Construction"),$E754,0)</f>
        <v>0</v>
      </c>
      <c r="JJ754" s="615">
        <f t="shared" ref="JJ754:JJ790" si="250">IF(AND($C754=2,$E754&gt;0,OR($N754="1-Story",$N754="2-Story",$N754="3+ Story",$N754="2-Story Walkup",$N754="Townhome"),$O754="New Construction"),$E754,0)</f>
        <v>0</v>
      </c>
      <c r="JK754" s="615">
        <f t="shared" ref="JK754:JK790" si="251">IF(AND($C754=3,$E754&gt;0,OR($N754="1-Story",$N754="2-Story",$N754="3+ Story",$N754="2-Story Walkup",$N754="Townhome"),$O754="New Construction"),$E754,0)</f>
        <v>0</v>
      </c>
      <c r="JL754" s="615">
        <f t="shared" ref="JL754:JL790" si="252">IF(AND($C754=4,$E754&gt;0,OR($N754="1-Story",$N754="2-Story",$N754="3+ Story",$N754="2-Story Walkup",$N754="Townhome"),$O754="New Construction"),$E754,0)</f>
        <v>0</v>
      </c>
      <c r="JM754" s="615">
        <f t="shared" ref="JM754:JM790" si="253">IF(AND($C754="Efficiency",$E754&gt;0,OR($N754="SF Detached",$N754="Duplex",$N754="Mfd Home"),NOT($P754="Yes")),$E754,0)</f>
        <v>0</v>
      </c>
      <c r="JN754" s="615">
        <f t="shared" ref="JN754:JN790" si="254">IF(AND($C754=1,$E754&gt;0,OR($N754="SF Detached",$N754="Duplex",$N754="Mfd Home"),NOT($P754="Yes")),$E754,0)</f>
        <v>0</v>
      </c>
      <c r="JO754" s="615">
        <f t="shared" ref="JO754:JO790" si="255">IF(AND($C754=2,$E754&gt;0,OR($N754="SF Detached",$N754="Duplex",$N754="Mfd Home"),NOT($P754="Yes")),$E754,0)</f>
        <v>0</v>
      </c>
      <c r="JP754" s="615">
        <f t="shared" ref="JP754:JP790" si="256">IF(AND($C754=3,$E754&gt;0,OR($N754="SF Detached",$N754="Duplex",$N754="Mfd Home"),NOT($P754="Yes")),$E754,0)</f>
        <v>0</v>
      </c>
      <c r="JQ754" s="615">
        <f t="shared" ref="JQ754:JQ790" si="257">IF(AND($C754=4,$E754&gt;0,OR($N754="SF Detached",$N754="Duplex",$N754="Mfd Home"),NOT($P754="Yes")),$E754,0)</f>
        <v>0</v>
      </c>
    </row>
    <row r="755" spans="1:277" ht="12" customHeight="1">
      <c r="A755" s="1190" t="str">
        <f t="shared" si="0"/>
        <v/>
      </c>
      <c r="B755" s="1545" t="str">
        <f>'Part VI-Revenues &amp; Expenses'!B12</f>
        <v>60% AMI</v>
      </c>
      <c r="C755" s="1546">
        <f>'Part VI-Revenues &amp; Expenses'!C12</f>
        <v>1</v>
      </c>
      <c r="D755" s="1547">
        <f>'Part VI-Revenues &amp; Expenses'!D12</f>
        <v>1</v>
      </c>
      <c r="E755" s="1548">
        <f>'Part VI-Revenues &amp; Expenses'!E12</f>
        <v>65</v>
      </c>
      <c r="F755" s="1548">
        <f>'Part VI-Revenues &amp; Expenses'!F12</f>
        <v>502</v>
      </c>
      <c r="G755" s="1548">
        <f>'Part VI-Revenues &amp; Expenses'!G12</f>
        <v>759</v>
      </c>
      <c r="H755" s="1548">
        <f>'Part VI-Revenues &amp; Expenses'!H12</f>
        <v>1000</v>
      </c>
      <c r="I755" s="1548">
        <f>'Part VI-Revenues &amp; Expenses'!I12</f>
        <v>0</v>
      </c>
      <c r="J755" s="1549" t="str">
        <f>'Part VI-Revenues &amp; Expenses'!J12</f>
        <v>HUD</v>
      </c>
      <c r="K755" s="1550">
        <f t="shared" si="1"/>
        <v>1000</v>
      </c>
      <c r="L755" s="1550">
        <f t="shared" si="2"/>
        <v>65000</v>
      </c>
      <c r="M755" s="1551" t="str">
        <f>'Part VI-Revenues &amp; Expenses'!M12</f>
        <v>No</v>
      </c>
      <c r="N755" s="1551" t="str">
        <f>'Part VI-Revenues &amp; Expenses'!N12</f>
        <v>3+ Story</v>
      </c>
      <c r="O755" s="1551" t="str">
        <f>'Part VI-Revenues &amp; Expenses'!O12</f>
        <v>Acquisition/Rehab</v>
      </c>
      <c r="P755" s="1406" t="str">
        <f>'Part VI-Revenues &amp; Expenses'!P12</f>
        <v>No</v>
      </c>
      <c r="Q755" s="1552">
        <f>'Part VI-Revenues &amp; Expenses'!Q12</f>
        <v>40000</v>
      </c>
      <c r="R755" s="1553">
        <f>'Part VI-Revenues &amp; Expenses'!R12</f>
        <v>0.78086871644704736</v>
      </c>
      <c r="S755" s="1552">
        <f>'Part VI-Revenues &amp; Expenses'!S12</f>
        <v>0</v>
      </c>
      <c r="T755" s="1553">
        <f>'Part VI-Revenues &amp; Expenses'!T12</f>
        <v>0</v>
      </c>
      <c r="U755" s="1477"/>
      <c r="V755" s="1477"/>
      <c r="W755" s="531" t="str">
        <f t="shared" si="3"/>
        <v/>
      </c>
      <c r="X755" s="531">
        <f t="shared" si="4"/>
        <v>65</v>
      </c>
      <c r="Y755" s="531" t="str">
        <f t="shared" si="5"/>
        <v/>
      </c>
      <c r="Z755" s="531" t="str">
        <f t="shared" si="6"/>
        <v/>
      </c>
      <c r="AA755" s="531" t="str">
        <f t="shared" si="7"/>
        <v/>
      </c>
      <c r="AB755" s="531" t="str">
        <f t="shared" si="8"/>
        <v/>
      </c>
      <c r="AC755" s="531" t="str">
        <f t="shared" si="9"/>
        <v/>
      </c>
      <c r="AD755" s="531" t="str">
        <f t="shared" si="10"/>
        <v/>
      </c>
      <c r="AE755" s="531" t="str">
        <f t="shared" si="11"/>
        <v/>
      </c>
      <c r="AF755" s="531" t="str">
        <f t="shared" si="12"/>
        <v/>
      </c>
      <c r="AG755" s="531" t="str">
        <f t="shared" si="13"/>
        <v/>
      </c>
      <c r="AH755" s="531" t="str">
        <f t="shared" si="14"/>
        <v/>
      </c>
      <c r="AI755" s="531" t="str">
        <f t="shared" si="15"/>
        <v/>
      </c>
      <c r="AJ755" s="531" t="str">
        <f t="shared" si="16"/>
        <v/>
      </c>
      <c r="AK755" s="531" t="str">
        <f t="shared" si="17"/>
        <v/>
      </c>
      <c r="AL755" s="531" t="str">
        <f t="shared" si="18"/>
        <v/>
      </c>
      <c r="AM755" s="531" t="str">
        <f t="shared" si="19"/>
        <v/>
      </c>
      <c r="AN755" s="531" t="str">
        <f t="shared" si="20"/>
        <v/>
      </c>
      <c r="AO755" s="531" t="str">
        <f t="shared" si="21"/>
        <v/>
      </c>
      <c r="AP755" s="531" t="str">
        <f t="shared" si="22"/>
        <v/>
      </c>
      <c r="AQ755" s="531" t="str">
        <f t="shared" si="23"/>
        <v/>
      </c>
      <c r="AR755" s="531" t="str">
        <f t="shared" si="24"/>
        <v/>
      </c>
      <c r="AS755" s="531" t="str">
        <f t="shared" si="25"/>
        <v/>
      </c>
      <c r="AT755" s="531" t="str">
        <f t="shared" si="26"/>
        <v/>
      </c>
      <c r="AU755" s="531" t="str">
        <f t="shared" si="27"/>
        <v/>
      </c>
      <c r="AV755" s="531" t="str">
        <f t="shared" si="28"/>
        <v/>
      </c>
      <c r="AW755" s="531" t="str">
        <f t="shared" si="29"/>
        <v/>
      </c>
      <c r="AX755" s="531" t="str">
        <f t="shared" si="30"/>
        <v/>
      </c>
      <c r="AY755" s="531" t="str">
        <f t="shared" si="31"/>
        <v/>
      </c>
      <c r="AZ755" s="531" t="str">
        <f t="shared" si="32"/>
        <v/>
      </c>
      <c r="BA755" s="531" t="str">
        <f t="shared" si="33"/>
        <v/>
      </c>
      <c r="BB755" s="531">
        <f t="shared" si="34"/>
        <v>65</v>
      </c>
      <c r="BC755" s="531" t="str">
        <f t="shared" si="35"/>
        <v/>
      </c>
      <c r="BD755" s="531" t="str">
        <f t="shared" si="36"/>
        <v/>
      </c>
      <c r="BE755" s="531" t="str">
        <f t="shared" si="37"/>
        <v/>
      </c>
      <c r="BF755" s="531" t="str">
        <f t="shared" si="38"/>
        <v/>
      </c>
      <c r="BG755" s="531" t="str">
        <f t="shared" si="39"/>
        <v/>
      </c>
      <c r="BH755" s="531" t="str">
        <f t="shared" si="40"/>
        <v/>
      </c>
      <c r="BI755" s="531" t="str">
        <f t="shared" si="41"/>
        <v/>
      </c>
      <c r="BJ755" s="531" t="str">
        <f t="shared" si="42"/>
        <v/>
      </c>
      <c r="BK755" s="531" t="str">
        <f t="shared" si="43"/>
        <v/>
      </c>
      <c r="BL755" s="531" t="str">
        <f t="shared" si="44"/>
        <v/>
      </c>
      <c r="BM755" s="531" t="str">
        <f t="shared" si="45"/>
        <v/>
      </c>
      <c r="BN755" s="531" t="str">
        <f t="shared" si="46"/>
        <v/>
      </c>
      <c r="BO755" s="531" t="str">
        <f t="shared" si="47"/>
        <v/>
      </c>
      <c r="BP755" s="531" t="str">
        <f t="shared" si="48"/>
        <v/>
      </c>
      <c r="BQ755" s="531" t="str">
        <f t="shared" si="49"/>
        <v/>
      </c>
      <c r="BR755" s="531" t="str">
        <f t="shared" si="50"/>
        <v/>
      </c>
      <c r="BS755" s="531" t="str">
        <f t="shared" si="51"/>
        <v/>
      </c>
      <c r="BT755" s="531" t="str">
        <f t="shared" si="52"/>
        <v/>
      </c>
      <c r="BU755" s="531" t="str">
        <f t="shared" si="53"/>
        <v/>
      </c>
      <c r="BV755" s="531" t="str">
        <f t="shared" si="54"/>
        <v/>
      </c>
      <c r="BW755" s="531" t="str">
        <f t="shared" si="55"/>
        <v/>
      </c>
      <c r="BX755" s="531" t="str">
        <f t="shared" si="56"/>
        <v/>
      </c>
      <c r="BY755" s="531" t="str">
        <f t="shared" si="57"/>
        <v/>
      </c>
      <c r="BZ755" s="531" t="str">
        <f t="shared" si="58"/>
        <v/>
      </c>
      <c r="CA755" s="531">
        <f t="shared" si="59"/>
        <v>32630</v>
      </c>
      <c r="CB755" s="531" t="str">
        <f t="shared" si="60"/>
        <v/>
      </c>
      <c r="CC755" s="531" t="str">
        <f t="shared" si="61"/>
        <v/>
      </c>
      <c r="CD755" s="531" t="str">
        <f t="shared" si="62"/>
        <v/>
      </c>
      <c r="CE755" s="531" t="str">
        <f t="shared" si="63"/>
        <v/>
      </c>
      <c r="CF755" s="531" t="str">
        <f t="shared" si="64"/>
        <v/>
      </c>
      <c r="CG755" s="531" t="str">
        <f t="shared" si="65"/>
        <v/>
      </c>
      <c r="CH755" s="531" t="str">
        <f t="shared" si="66"/>
        <v/>
      </c>
      <c r="CI755" s="531" t="str">
        <f t="shared" si="67"/>
        <v/>
      </c>
      <c r="CJ755" s="531" t="str">
        <f t="shared" si="68"/>
        <v/>
      </c>
      <c r="CK755" s="531" t="str">
        <f t="shared" si="69"/>
        <v/>
      </c>
      <c r="CL755" s="531" t="str">
        <f t="shared" si="70"/>
        <v/>
      </c>
      <c r="CM755" s="531" t="str">
        <f t="shared" si="71"/>
        <v/>
      </c>
      <c r="CN755" s="531" t="str">
        <f t="shared" si="72"/>
        <v/>
      </c>
      <c r="CO755" s="531" t="str">
        <f t="shared" si="73"/>
        <v/>
      </c>
      <c r="CP755" s="531" t="str">
        <f t="shared" si="74"/>
        <v/>
      </c>
      <c r="CQ755" s="531" t="str">
        <f t="shared" si="75"/>
        <v/>
      </c>
      <c r="CR755" s="531" t="str">
        <f t="shared" si="76"/>
        <v/>
      </c>
      <c r="CS755" s="531" t="str">
        <f t="shared" si="77"/>
        <v/>
      </c>
      <c r="CT755" s="531" t="str">
        <f t="shared" si="78"/>
        <v/>
      </c>
      <c r="CU755" s="531">
        <f t="shared" si="79"/>
        <v>32630</v>
      </c>
      <c r="CV755" s="531" t="str">
        <f t="shared" si="80"/>
        <v/>
      </c>
      <c r="CW755" s="531" t="str">
        <f t="shared" si="81"/>
        <v/>
      </c>
      <c r="CX755" s="531" t="str">
        <f t="shared" si="82"/>
        <v/>
      </c>
      <c r="CY755" s="531" t="str">
        <f t="shared" si="83"/>
        <v/>
      </c>
      <c r="CZ755" s="531" t="str">
        <f t="shared" si="84"/>
        <v/>
      </c>
      <c r="DA755" s="531" t="str">
        <f t="shared" si="85"/>
        <v/>
      </c>
      <c r="DB755" s="531" t="str">
        <f t="shared" si="86"/>
        <v/>
      </c>
      <c r="DC755" s="531" t="str">
        <f t="shared" si="87"/>
        <v/>
      </c>
      <c r="DD755" s="531" t="str">
        <f t="shared" si="88"/>
        <v/>
      </c>
      <c r="DE755" s="531" t="str">
        <f t="shared" si="89"/>
        <v/>
      </c>
      <c r="DF755" s="531" t="str">
        <f t="shared" si="90"/>
        <v/>
      </c>
      <c r="DG755" s="531" t="str">
        <f t="shared" si="91"/>
        <v/>
      </c>
      <c r="DH755" s="531" t="str">
        <f t="shared" si="92"/>
        <v/>
      </c>
      <c r="DI755" s="531" t="str">
        <f t="shared" si="93"/>
        <v/>
      </c>
      <c r="DJ755" s="531" t="str">
        <f t="shared" si="94"/>
        <v/>
      </c>
      <c r="DK755" s="531" t="str">
        <f t="shared" si="95"/>
        <v/>
      </c>
      <c r="DL755" s="531" t="str">
        <f t="shared" si="96"/>
        <v/>
      </c>
      <c r="DM755" s="531" t="str">
        <f t="shared" si="97"/>
        <v/>
      </c>
      <c r="DN755" s="531" t="str">
        <f t="shared" si="98"/>
        <v/>
      </c>
      <c r="DO755" s="531" t="str">
        <f t="shared" si="99"/>
        <v/>
      </c>
      <c r="DP755" s="531" t="str">
        <f t="shared" si="100"/>
        <v/>
      </c>
      <c r="DQ755" s="531" t="str">
        <f t="shared" si="101"/>
        <v/>
      </c>
      <c r="DR755" s="531" t="str">
        <f t="shared" si="102"/>
        <v/>
      </c>
      <c r="DS755" s="531" t="str">
        <f t="shared" si="103"/>
        <v/>
      </c>
      <c r="DT755" s="531">
        <f t="shared" si="104"/>
        <v>65</v>
      </c>
      <c r="DU755" s="531" t="str">
        <f t="shared" si="105"/>
        <v/>
      </c>
      <c r="DV755" s="531" t="str">
        <f t="shared" si="106"/>
        <v/>
      </c>
      <c r="DW755" s="531" t="str">
        <f t="shared" si="107"/>
        <v/>
      </c>
      <c r="DX755" s="531" t="str">
        <f t="shared" si="108"/>
        <v/>
      </c>
      <c r="DY755" s="531" t="str">
        <f t="shared" si="109"/>
        <v/>
      </c>
      <c r="DZ755" s="531" t="str">
        <f t="shared" si="110"/>
        <v/>
      </c>
      <c r="EA755" s="531" t="str">
        <f t="shared" si="111"/>
        <v/>
      </c>
      <c r="EB755" s="531" t="str">
        <f t="shared" si="112"/>
        <v/>
      </c>
      <c r="EC755" s="531" t="str">
        <f t="shared" si="113"/>
        <v/>
      </c>
      <c r="ED755" s="531" t="str">
        <f t="shared" si="114"/>
        <v/>
      </c>
      <c r="EE755" s="531" t="str">
        <f t="shared" si="115"/>
        <v/>
      </c>
      <c r="EF755" s="531" t="str">
        <f t="shared" si="116"/>
        <v/>
      </c>
      <c r="EG755" s="531" t="str">
        <f t="shared" si="117"/>
        <v/>
      </c>
      <c r="EH755" s="531" t="str">
        <f t="shared" si="118"/>
        <v/>
      </c>
      <c r="EI755" s="531" t="str">
        <f t="shared" si="119"/>
        <v/>
      </c>
      <c r="EJ755" s="531" t="str">
        <f t="shared" si="120"/>
        <v/>
      </c>
      <c r="EK755" s="531" t="str">
        <f t="shared" si="121"/>
        <v/>
      </c>
      <c r="EL755" s="531" t="str">
        <f t="shared" si="122"/>
        <v/>
      </c>
      <c r="EM755" s="531" t="str">
        <f t="shared" si="123"/>
        <v/>
      </c>
      <c r="EN755" s="531" t="str">
        <f t="shared" si="124"/>
        <v/>
      </c>
      <c r="EO755" s="531" t="str">
        <f t="shared" si="125"/>
        <v/>
      </c>
      <c r="EP755" s="531" t="str">
        <f t="shared" si="126"/>
        <v/>
      </c>
      <c r="EQ755" s="531" t="str">
        <f t="shared" si="127"/>
        <v/>
      </c>
      <c r="ER755" s="531" t="str">
        <f t="shared" si="128"/>
        <v/>
      </c>
      <c r="ES755" s="531" t="str">
        <f t="shared" si="129"/>
        <v/>
      </c>
      <c r="ET755" s="531" t="str">
        <f t="shared" si="130"/>
        <v/>
      </c>
      <c r="EU755" s="531" t="str">
        <f t="shared" si="131"/>
        <v/>
      </c>
      <c r="EV755" s="531" t="str">
        <f t="shared" si="132"/>
        <v/>
      </c>
      <c r="EW755" s="1554" t="str">
        <f t="shared" si="133"/>
        <v/>
      </c>
      <c r="EX755" s="1554">
        <f t="shared" si="134"/>
        <v>65</v>
      </c>
      <c r="EY755" s="1554" t="str">
        <f t="shared" si="135"/>
        <v/>
      </c>
      <c r="EZ755" s="1554" t="str">
        <f t="shared" si="136"/>
        <v/>
      </c>
      <c r="FA755" s="1554" t="str">
        <f t="shared" si="137"/>
        <v/>
      </c>
      <c r="FB755" s="1554" t="str">
        <f t="shared" si="138"/>
        <v/>
      </c>
      <c r="FC755" s="1554" t="str">
        <f t="shared" si="139"/>
        <v/>
      </c>
      <c r="FD755" s="1554" t="str">
        <f t="shared" si="140"/>
        <v/>
      </c>
      <c r="FE755" s="1554" t="str">
        <f t="shared" si="141"/>
        <v/>
      </c>
      <c r="FF755" s="1554" t="str">
        <f t="shared" si="142"/>
        <v/>
      </c>
      <c r="FG755" s="1554" t="str">
        <f t="shared" si="143"/>
        <v/>
      </c>
      <c r="FH755" s="1554" t="str">
        <f t="shared" si="144"/>
        <v/>
      </c>
      <c r="FI755" s="1554" t="str">
        <f t="shared" si="145"/>
        <v/>
      </c>
      <c r="FJ755" s="1554" t="str">
        <f t="shared" si="146"/>
        <v/>
      </c>
      <c r="FK755" s="1554" t="str">
        <f t="shared" si="147"/>
        <v/>
      </c>
      <c r="FL755" s="1554" t="str">
        <f t="shared" si="148"/>
        <v/>
      </c>
      <c r="FM755" s="1554" t="str">
        <f t="shared" si="149"/>
        <v/>
      </c>
      <c r="FN755" s="1554" t="str">
        <f t="shared" si="150"/>
        <v/>
      </c>
      <c r="FO755" s="1554" t="str">
        <f t="shared" si="151"/>
        <v/>
      </c>
      <c r="FP755" s="1554" t="str">
        <f t="shared" si="152"/>
        <v/>
      </c>
      <c r="FQ755" s="1554" t="str">
        <f t="shared" si="153"/>
        <v/>
      </c>
      <c r="FR755" s="1554" t="str">
        <f t="shared" si="154"/>
        <v/>
      </c>
      <c r="FS755" s="1554" t="str">
        <f t="shared" si="155"/>
        <v/>
      </c>
      <c r="FT755" s="1554" t="str">
        <f t="shared" si="156"/>
        <v/>
      </c>
      <c r="FU755" s="1554" t="str">
        <f t="shared" si="157"/>
        <v/>
      </c>
      <c r="FV755" s="1554" t="str">
        <f t="shared" si="158"/>
        <v/>
      </c>
      <c r="FW755" s="1554" t="str">
        <f t="shared" si="159"/>
        <v/>
      </c>
      <c r="FX755" s="1554" t="str">
        <f t="shared" si="160"/>
        <v/>
      </c>
      <c r="FY755" s="1554" t="str">
        <f t="shared" si="161"/>
        <v/>
      </c>
      <c r="FZ755" s="1554" t="str">
        <f t="shared" si="162"/>
        <v/>
      </c>
      <c r="GA755" s="1554" t="str">
        <f t="shared" si="163"/>
        <v/>
      </c>
      <c r="GB755" s="1554" t="str">
        <f t="shared" si="164"/>
        <v/>
      </c>
      <c r="GC755" s="1554" t="str">
        <f t="shared" si="165"/>
        <v/>
      </c>
      <c r="GD755" s="1554" t="str">
        <f t="shared" si="166"/>
        <v/>
      </c>
      <c r="GE755" s="1554" t="str">
        <f t="shared" si="167"/>
        <v/>
      </c>
      <c r="GF755" s="1554" t="str">
        <f t="shared" si="168"/>
        <v/>
      </c>
      <c r="GG755" s="1554" t="str">
        <f t="shared" si="169"/>
        <v/>
      </c>
      <c r="GH755" s="1554" t="str">
        <f t="shared" si="170"/>
        <v/>
      </c>
      <c r="GI755" s="1554" t="str">
        <f t="shared" si="171"/>
        <v/>
      </c>
      <c r="GJ755" s="1554" t="str">
        <f t="shared" si="172"/>
        <v/>
      </c>
      <c r="GK755" s="1554" t="str">
        <f t="shared" si="173"/>
        <v/>
      </c>
      <c r="GL755" s="1554" t="str">
        <f t="shared" si="174"/>
        <v/>
      </c>
      <c r="GM755" s="1554" t="str">
        <f t="shared" si="175"/>
        <v/>
      </c>
      <c r="GN755" s="1554" t="str">
        <f t="shared" si="176"/>
        <v/>
      </c>
      <c r="GO755" s="1554" t="str">
        <f t="shared" si="177"/>
        <v/>
      </c>
      <c r="GP755" s="1554" t="str">
        <f t="shared" si="178"/>
        <v/>
      </c>
      <c r="GQ755" s="1554" t="str">
        <f t="shared" si="179"/>
        <v/>
      </c>
      <c r="GR755" s="1554" t="str">
        <f t="shared" si="180"/>
        <v/>
      </c>
      <c r="GS755" s="1554" t="str">
        <f t="shared" si="181"/>
        <v/>
      </c>
      <c r="GT755" s="1554" t="str">
        <f t="shared" si="182"/>
        <v/>
      </c>
      <c r="GU755" s="1554" t="str">
        <f t="shared" si="183"/>
        <v/>
      </c>
      <c r="GV755" s="1554" t="str">
        <f t="shared" si="184"/>
        <v/>
      </c>
      <c r="GW755" s="1554" t="str">
        <f t="shared" si="185"/>
        <v/>
      </c>
      <c r="GX755" s="1554" t="str">
        <f t="shared" si="186"/>
        <v/>
      </c>
      <c r="GY755" s="1554" t="str">
        <f t="shared" si="187"/>
        <v/>
      </c>
      <c r="GZ755" s="1554" t="str">
        <f t="shared" si="188"/>
        <v/>
      </c>
      <c r="HA755" s="1554" t="str">
        <f t="shared" si="189"/>
        <v/>
      </c>
      <c r="HB755" s="1554" t="str">
        <f t="shared" si="190"/>
        <v/>
      </c>
      <c r="HC755" s="1554" t="str">
        <f t="shared" si="191"/>
        <v/>
      </c>
      <c r="HD755" s="1554" t="str">
        <f t="shared" si="192"/>
        <v/>
      </c>
      <c r="HE755" s="1554" t="str">
        <f t="shared" si="193"/>
        <v/>
      </c>
      <c r="HF755" s="1554" t="str">
        <f t="shared" si="194"/>
        <v/>
      </c>
      <c r="HG755" s="1554" t="str">
        <f t="shared" si="195"/>
        <v/>
      </c>
      <c r="HH755" s="1554" t="str">
        <f t="shared" si="196"/>
        <v/>
      </c>
      <c r="HI755" s="1554" t="str">
        <f t="shared" si="197"/>
        <v/>
      </c>
      <c r="HJ755" s="1554" t="str">
        <f t="shared" si="198"/>
        <v/>
      </c>
      <c r="HK755" s="1554" t="str">
        <f t="shared" si="199"/>
        <v/>
      </c>
      <c r="HL755" s="1554" t="str">
        <f t="shared" si="200"/>
        <v/>
      </c>
      <c r="HM755" s="1554" t="str">
        <f t="shared" si="201"/>
        <v/>
      </c>
      <c r="HN755" s="1554" t="str">
        <f t="shared" si="202"/>
        <v/>
      </c>
      <c r="HO755" s="1554" t="str">
        <f t="shared" si="203"/>
        <v/>
      </c>
      <c r="HP755" s="1554" t="str">
        <f t="shared" si="204"/>
        <v/>
      </c>
      <c r="HQ755" s="1554" t="str">
        <f t="shared" si="205"/>
        <v/>
      </c>
      <c r="HR755" s="1554" t="str">
        <f t="shared" si="206"/>
        <v/>
      </c>
      <c r="HS755" s="1554" t="str">
        <f t="shared" si="207"/>
        <v/>
      </c>
      <c r="HT755" s="1554" t="str">
        <f t="shared" si="208"/>
        <v/>
      </c>
      <c r="HU755" s="1554">
        <f t="shared" si="209"/>
        <v>65</v>
      </c>
      <c r="HV755" s="1554" t="str">
        <f t="shared" si="210"/>
        <v/>
      </c>
      <c r="HW755" s="1554" t="str">
        <f t="shared" si="211"/>
        <v/>
      </c>
      <c r="HX755" s="1554" t="str">
        <f t="shared" si="212"/>
        <v/>
      </c>
      <c r="HY755" s="1554" t="str">
        <f t="shared" si="213"/>
        <v/>
      </c>
      <c r="HZ755" s="1554" t="str">
        <f t="shared" si="214"/>
        <v/>
      </c>
      <c r="IA755" s="1554" t="str">
        <f t="shared" si="215"/>
        <v/>
      </c>
      <c r="IB755" s="1554" t="str">
        <f t="shared" si="216"/>
        <v/>
      </c>
      <c r="IC755" s="1554" t="str">
        <f t="shared" si="217"/>
        <v/>
      </c>
      <c r="ID755" s="31" t="str">
        <f t="shared" si="218"/>
        <v/>
      </c>
      <c r="IE755" s="31" t="str">
        <f t="shared" si="219"/>
        <v/>
      </c>
      <c r="IF755" s="31" t="str">
        <f t="shared" si="220"/>
        <v/>
      </c>
      <c r="IG755" s="31" t="str">
        <f t="shared" si="221"/>
        <v/>
      </c>
      <c r="IH755" s="31" t="str">
        <f t="shared" si="222"/>
        <v/>
      </c>
      <c r="II755" s="531" t="str">
        <f t="shared" si="223"/>
        <v/>
      </c>
      <c r="IJ755" s="531" t="str">
        <f t="shared" si="224"/>
        <v/>
      </c>
      <c r="IK755" s="531" t="str">
        <f t="shared" si="225"/>
        <v/>
      </c>
      <c r="IL755" s="531" t="str">
        <f t="shared" si="226"/>
        <v/>
      </c>
      <c r="IM755" s="531" t="str">
        <f t="shared" si="227"/>
        <v/>
      </c>
      <c r="IN755" s="531" t="str">
        <f t="shared" si="228"/>
        <v/>
      </c>
      <c r="IO755" s="531" t="str">
        <f t="shared" si="229"/>
        <v/>
      </c>
      <c r="IP755" s="531" t="str">
        <f t="shared" si="230"/>
        <v/>
      </c>
      <c r="IQ755" s="531" t="str">
        <f t="shared" si="231"/>
        <v/>
      </c>
      <c r="IR755" s="531" t="str">
        <f t="shared" si="232"/>
        <v/>
      </c>
      <c r="IS755" s="531" t="str">
        <f t="shared" si="233"/>
        <v/>
      </c>
      <c r="IT755" s="531" t="str">
        <f t="shared" si="234"/>
        <v/>
      </c>
      <c r="IU755" s="531" t="str">
        <f t="shared" si="235"/>
        <v/>
      </c>
      <c r="IV755" s="531" t="str">
        <f t="shared" si="236"/>
        <v/>
      </c>
      <c r="IW755" s="531" t="str">
        <f t="shared" si="237"/>
        <v/>
      </c>
      <c r="IX755" s="531" t="str">
        <f t="shared" si="238"/>
        <v/>
      </c>
      <c r="IY755" s="531" t="str">
        <f t="shared" si="239"/>
        <v/>
      </c>
      <c r="IZ755" s="531" t="str">
        <f t="shared" si="240"/>
        <v/>
      </c>
      <c r="JA755" s="531" t="str">
        <f t="shared" si="241"/>
        <v/>
      </c>
      <c r="JB755" s="531" t="str">
        <f t="shared" si="242"/>
        <v/>
      </c>
      <c r="JC755" s="615">
        <f t="shared" si="243"/>
        <v>0</v>
      </c>
      <c r="JD755" s="615">
        <f t="shared" si="244"/>
        <v>65</v>
      </c>
      <c r="JE755" s="615">
        <f t="shared" si="245"/>
        <v>0</v>
      </c>
      <c r="JF755" s="615">
        <f t="shared" si="246"/>
        <v>0</v>
      </c>
      <c r="JG755" s="615">
        <f t="shared" si="247"/>
        <v>0</v>
      </c>
      <c r="JH755" s="615">
        <f t="shared" si="248"/>
        <v>0</v>
      </c>
      <c r="JI755" s="615">
        <f t="shared" si="249"/>
        <v>0</v>
      </c>
      <c r="JJ755" s="615">
        <f t="shared" si="250"/>
        <v>0</v>
      </c>
      <c r="JK755" s="615">
        <f t="shared" si="251"/>
        <v>0</v>
      </c>
      <c r="JL755" s="615">
        <f t="shared" si="252"/>
        <v>0</v>
      </c>
      <c r="JM755" s="615">
        <f t="shared" si="253"/>
        <v>0</v>
      </c>
      <c r="JN755" s="615">
        <f t="shared" si="254"/>
        <v>0</v>
      </c>
      <c r="JO755" s="615">
        <f t="shared" si="255"/>
        <v>0</v>
      </c>
      <c r="JP755" s="615">
        <f t="shared" si="256"/>
        <v>0</v>
      </c>
      <c r="JQ755" s="615">
        <f t="shared" si="257"/>
        <v>0</v>
      </c>
    </row>
    <row r="756" spans="1:277" ht="12" customHeight="1">
      <c r="A756" s="1190" t="str">
        <f t="shared" si="0"/>
        <v/>
      </c>
      <c r="B756" s="1545" t="str">
        <f>'Part VI-Revenues &amp; Expenses'!B13</f>
        <v>60% AMI</v>
      </c>
      <c r="C756" s="1546">
        <f>'Part VI-Revenues &amp; Expenses'!C13</f>
        <v>1</v>
      </c>
      <c r="D756" s="1547">
        <f>'Part VI-Revenues &amp; Expenses'!D13</f>
        <v>1</v>
      </c>
      <c r="E756" s="1548">
        <f>'Part VI-Revenues &amp; Expenses'!E13</f>
        <v>23</v>
      </c>
      <c r="F756" s="1548">
        <f>'Part VI-Revenues &amp; Expenses'!F13</f>
        <v>542</v>
      </c>
      <c r="G756" s="1548">
        <f>'Part VI-Revenues &amp; Expenses'!G13</f>
        <v>759</v>
      </c>
      <c r="H756" s="1548">
        <f>'Part VI-Revenues &amp; Expenses'!H13</f>
        <v>1000</v>
      </c>
      <c r="I756" s="1548">
        <f>'Part VI-Revenues &amp; Expenses'!I13</f>
        <v>0</v>
      </c>
      <c r="J756" s="1549" t="str">
        <f>'Part VI-Revenues &amp; Expenses'!J13</f>
        <v>HUD</v>
      </c>
      <c r="K756" s="1550">
        <f t="shared" si="1"/>
        <v>1000</v>
      </c>
      <c r="L756" s="1550">
        <f t="shared" si="2"/>
        <v>23000</v>
      </c>
      <c r="M756" s="1551" t="str">
        <f>'Part VI-Revenues &amp; Expenses'!M13</f>
        <v>No</v>
      </c>
      <c r="N756" s="1551" t="str">
        <f>'Part VI-Revenues &amp; Expenses'!N13</f>
        <v>3+ Story</v>
      </c>
      <c r="O756" s="1551" t="str">
        <f>'Part VI-Revenues &amp; Expenses'!O13</f>
        <v>Acquisition/Rehab</v>
      </c>
      <c r="P756" s="1406" t="str">
        <f>'Part VI-Revenues &amp; Expenses'!P13</f>
        <v>No</v>
      </c>
      <c r="Q756" s="1552">
        <f>'Part VI-Revenues &amp; Expenses'!Q13</f>
        <v>40000</v>
      </c>
      <c r="R756" s="1553">
        <f>'Part VI-Revenues &amp; Expenses'!R13</f>
        <v>0.78086871644704736</v>
      </c>
      <c r="S756" s="1552">
        <f>'Part VI-Revenues &amp; Expenses'!S13</f>
        <v>0</v>
      </c>
      <c r="T756" s="1553">
        <f>'Part VI-Revenues &amp; Expenses'!T13</f>
        <v>0</v>
      </c>
      <c r="U756" s="1477"/>
      <c r="V756" s="1477"/>
      <c r="W756" s="531" t="str">
        <f t="shared" si="3"/>
        <v/>
      </c>
      <c r="X756" s="531">
        <f t="shared" si="4"/>
        <v>23</v>
      </c>
      <c r="Y756" s="531" t="str">
        <f t="shared" si="5"/>
        <v/>
      </c>
      <c r="Z756" s="531" t="str">
        <f t="shared" si="6"/>
        <v/>
      </c>
      <c r="AA756" s="531" t="str">
        <f t="shared" si="7"/>
        <v/>
      </c>
      <c r="AB756" s="531" t="str">
        <f t="shared" si="8"/>
        <v/>
      </c>
      <c r="AC756" s="531" t="str">
        <f t="shared" si="9"/>
        <v/>
      </c>
      <c r="AD756" s="531" t="str">
        <f t="shared" si="10"/>
        <v/>
      </c>
      <c r="AE756" s="531" t="str">
        <f t="shared" si="11"/>
        <v/>
      </c>
      <c r="AF756" s="531" t="str">
        <f t="shared" si="12"/>
        <v/>
      </c>
      <c r="AG756" s="531" t="str">
        <f t="shared" si="13"/>
        <v/>
      </c>
      <c r="AH756" s="531" t="str">
        <f t="shared" si="14"/>
        <v/>
      </c>
      <c r="AI756" s="531" t="str">
        <f t="shared" si="15"/>
        <v/>
      </c>
      <c r="AJ756" s="531" t="str">
        <f t="shared" si="16"/>
        <v/>
      </c>
      <c r="AK756" s="531" t="str">
        <f t="shared" si="17"/>
        <v/>
      </c>
      <c r="AL756" s="531" t="str">
        <f t="shared" si="18"/>
        <v/>
      </c>
      <c r="AM756" s="531" t="str">
        <f t="shared" si="19"/>
        <v/>
      </c>
      <c r="AN756" s="531" t="str">
        <f t="shared" si="20"/>
        <v/>
      </c>
      <c r="AO756" s="531" t="str">
        <f t="shared" si="21"/>
        <v/>
      </c>
      <c r="AP756" s="531" t="str">
        <f t="shared" si="22"/>
        <v/>
      </c>
      <c r="AQ756" s="531" t="str">
        <f t="shared" si="23"/>
        <v/>
      </c>
      <c r="AR756" s="531" t="str">
        <f t="shared" si="24"/>
        <v/>
      </c>
      <c r="AS756" s="531" t="str">
        <f t="shared" si="25"/>
        <v/>
      </c>
      <c r="AT756" s="531" t="str">
        <f t="shared" si="26"/>
        <v/>
      </c>
      <c r="AU756" s="531" t="str">
        <f t="shared" si="27"/>
        <v/>
      </c>
      <c r="AV756" s="531" t="str">
        <f t="shared" si="28"/>
        <v/>
      </c>
      <c r="AW756" s="531" t="str">
        <f t="shared" si="29"/>
        <v/>
      </c>
      <c r="AX756" s="531" t="str">
        <f t="shared" si="30"/>
        <v/>
      </c>
      <c r="AY756" s="531" t="str">
        <f t="shared" si="31"/>
        <v/>
      </c>
      <c r="AZ756" s="531" t="str">
        <f t="shared" si="32"/>
        <v/>
      </c>
      <c r="BA756" s="531" t="str">
        <f t="shared" si="33"/>
        <v/>
      </c>
      <c r="BB756" s="531">
        <f t="shared" si="34"/>
        <v>23</v>
      </c>
      <c r="BC756" s="531" t="str">
        <f t="shared" si="35"/>
        <v/>
      </c>
      <c r="BD756" s="531" t="str">
        <f t="shared" si="36"/>
        <v/>
      </c>
      <c r="BE756" s="531" t="str">
        <f t="shared" si="37"/>
        <v/>
      </c>
      <c r="BF756" s="531" t="str">
        <f t="shared" si="38"/>
        <v/>
      </c>
      <c r="BG756" s="531" t="str">
        <f t="shared" si="39"/>
        <v/>
      </c>
      <c r="BH756" s="531" t="str">
        <f t="shared" si="40"/>
        <v/>
      </c>
      <c r="BI756" s="531" t="str">
        <f t="shared" si="41"/>
        <v/>
      </c>
      <c r="BJ756" s="531" t="str">
        <f t="shared" si="42"/>
        <v/>
      </c>
      <c r="BK756" s="531" t="str">
        <f t="shared" si="43"/>
        <v/>
      </c>
      <c r="BL756" s="531" t="str">
        <f t="shared" si="44"/>
        <v/>
      </c>
      <c r="BM756" s="531" t="str">
        <f t="shared" si="45"/>
        <v/>
      </c>
      <c r="BN756" s="531" t="str">
        <f t="shared" si="46"/>
        <v/>
      </c>
      <c r="BO756" s="531" t="str">
        <f t="shared" si="47"/>
        <v/>
      </c>
      <c r="BP756" s="531" t="str">
        <f t="shared" si="48"/>
        <v/>
      </c>
      <c r="BQ756" s="531" t="str">
        <f t="shared" si="49"/>
        <v/>
      </c>
      <c r="BR756" s="531" t="str">
        <f t="shared" si="50"/>
        <v/>
      </c>
      <c r="BS756" s="531" t="str">
        <f t="shared" si="51"/>
        <v/>
      </c>
      <c r="BT756" s="531" t="str">
        <f t="shared" si="52"/>
        <v/>
      </c>
      <c r="BU756" s="531" t="str">
        <f t="shared" si="53"/>
        <v/>
      </c>
      <c r="BV756" s="531" t="str">
        <f t="shared" si="54"/>
        <v/>
      </c>
      <c r="BW756" s="531" t="str">
        <f t="shared" si="55"/>
        <v/>
      </c>
      <c r="BX756" s="531" t="str">
        <f t="shared" si="56"/>
        <v/>
      </c>
      <c r="BY756" s="531" t="str">
        <f t="shared" si="57"/>
        <v/>
      </c>
      <c r="BZ756" s="531" t="str">
        <f t="shared" si="58"/>
        <v/>
      </c>
      <c r="CA756" s="531">
        <f t="shared" si="59"/>
        <v>12466</v>
      </c>
      <c r="CB756" s="531" t="str">
        <f t="shared" si="60"/>
        <v/>
      </c>
      <c r="CC756" s="531" t="str">
        <f t="shared" si="61"/>
        <v/>
      </c>
      <c r="CD756" s="531" t="str">
        <f t="shared" si="62"/>
        <v/>
      </c>
      <c r="CE756" s="531" t="str">
        <f t="shared" si="63"/>
        <v/>
      </c>
      <c r="CF756" s="531" t="str">
        <f t="shared" si="64"/>
        <v/>
      </c>
      <c r="CG756" s="531" t="str">
        <f t="shared" si="65"/>
        <v/>
      </c>
      <c r="CH756" s="531" t="str">
        <f t="shared" si="66"/>
        <v/>
      </c>
      <c r="CI756" s="531" t="str">
        <f t="shared" si="67"/>
        <v/>
      </c>
      <c r="CJ756" s="531" t="str">
        <f t="shared" si="68"/>
        <v/>
      </c>
      <c r="CK756" s="531" t="str">
        <f t="shared" si="69"/>
        <v/>
      </c>
      <c r="CL756" s="531" t="str">
        <f t="shared" si="70"/>
        <v/>
      </c>
      <c r="CM756" s="531" t="str">
        <f t="shared" si="71"/>
        <v/>
      </c>
      <c r="CN756" s="531" t="str">
        <f t="shared" si="72"/>
        <v/>
      </c>
      <c r="CO756" s="531" t="str">
        <f t="shared" si="73"/>
        <v/>
      </c>
      <c r="CP756" s="531" t="str">
        <f t="shared" si="74"/>
        <v/>
      </c>
      <c r="CQ756" s="531" t="str">
        <f t="shared" si="75"/>
        <v/>
      </c>
      <c r="CR756" s="531" t="str">
        <f t="shared" si="76"/>
        <v/>
      </c>
      <c r="CS756" s="531" t="str">
        <f t="shared" si="77"/>
        <v/>
      </c>
      <c r="CT756" s="531" t="str">
        <f t="shared" si="78"/>
        <v/>
      </c>
      <c r="CU756" s="531">
        <f t="shared" si="79"/>
        <v>12466</v>
      </c>
      <c r="CV756" s="531" t="str">
        <f t="shared" si="80"/>
        <v/>
      </c>
      <c r="CW756" s="531" t="str">
        <f t="shared" si="81"/>
        <v/>
      </c>
      <c r="CX756" s="531" t="str">
        <f t="shared" si="82"/>
        <v/>
      </c>
      <c r="CY756" s="531" t="str">
        <f t="shared" si="83"/>
        <v/>
      </c>
      <c r="CZ756" s="531" t="str">
        <f t="shared" si="84"/>
        <v/>
      </c>
      <c r="DA756" s="531" t="str">
        <f t="shared" si="85"/>
        <v/>
      </c>
      <c r="DB756" s="531" t="str">
        <f t="shared" si="86"/>
        <v/>
      </c>
      <c r="DC756" s="531" t="str">
        <f t="shared" si="87"/>
        <v/>
      </c>
      <c r="DD756" s="531" t="str">
        <f t="shared" si="88"/>
        <v/>
      </c>
      <c r="DE756" s="531" t="str">
        <f t="shared" si="89"/>
        <v/>
      </c>
      <c r="DF756" s="531" t="str">
        <f t="shared" si="90"/>
        <v/>
      </c>
      <c r="DG756" s="531" t="str">
        <f t="shared" si="91"/>
        <v/>
      </c>
      <c r="DH756" s="531" t="str">
        <f t="shared" si="92"/>
        <v/>
      </c>
      <c r="DI756" s="531" t="str">
        <f t="shared" si="93"/>
        <v/>
      </c>
      <c r="DJ756" s="531" t="str">
        <f t="shared" si="94"/>
        <v/>
      </c>
      <c r="DK756" s="531" t="str">
        <f t="shared" si="95"/>
        <v/>
      </c>
      <c r="DL756" s="531" t="str">
        <f t="shared" si="96"/>
        <v/>
      </c>
      <c r="DM756" s="531" t="str">
        <f t="shared" si="97"/>
        <v/>
      </c>
      <c r="DN756" s="531" t="str">
        <f t="shared" si="98"/>
        <v/>
      </c>
      <c r="DO756" s="531" t="str">
        <f t="shared" si="99"/>
        <v/>
      </c>
      <c r="DP756" s="531" t="str">
        <f t="shared" si="100"/>
        <v/>
      </c>
      <c r="DQ756" s="531" t="str">
        <f t="shared" si="101"/>
        <v/>
      </c>
      <c r="DR756" s="531" t="str">
        <f t="shared" si="102"/>
        <v/>
      </c>
      <c r="DS756" s="531" t="str">
        <f t="shared" si="103"/>
        <v/>
      </c>
      <c r="DT756" s="531">
        <f t="shared" si="104"/>
        <v>23</v>
      </c>
      <c r="DU756" s="531" t="str">
        <f t="shared" si="105"/>
        <v/>
      </c>
      <c r="DV756" s="531" t="str">
        <f t="shared" si="106"/>
        <v/>
      </c>
      <c r="DW756" s="531" t="str">
        <f t="shared" si="107"/>
        <v/>
      </c>
      <c r="DX756" s="531" t="str">
        <f t="shared" si="108"/>
        <v/>
      </c>
      <c r="DY756" s="531" t="str">
        <f t="shared" si="109"/>
        <v/>
      </c>
      <c r="DZ756" s="531" t="str">
        <f t="shared" si="110"/>
        <v/>
      </c>
      <c r="EA756" s="531" t="str">
        <f t="shared" si="111"/>
        <v/>
      </c>
      <c r="EB756" s="531" t="str">
        <f t="shared" si="112"/>
        <v/>
      </c>
      <c r="EC756" s="531" t="str">
        <f t="shared" si="113"/>
        <v/>
      </c>
      <c r="ED756" s="531" t="str">
        <f t="shared" si="114"/>
        <v/>
      </c>
      <c r="EE756" s="531" t="str">
        <f t="shared" si="115"/>
        <v/>
      </c>
      <c r="EF756" s="531" t="str">
        <f t="shared" si="116"/>
        <v/>
      </c>
      <c r="EG756" s="531" t="str">
        <f t="shared" si="117"/>
        <v/>
      </c>
      <c r="EH756" s="531" t="str">
        <f t="shared" si="118"/>
        <v/>
      </c>
      <c r="EI756" s="531" t="str">
        <f t="shared" si="119"/>
        <v/>
      </c>
      <c r="EJ756" s="531" t="str">
        <f t="shared" si="120"/>
        <v/>
      </c>
      <c r="EK756" s="531" t="str">
        <f t="shared" si="121"/>
        <v/>
      </c>
      <c r="EL756" s="531" t="str">
        <f t="shared" si="122"/>
        <v/>
      </c>
      <c r="EM756" s="531" t="str">
        <f t="shared" si="123"/>
        <v/>
      </c>
      <c r="EN756" s="531" t="str">
        <f t="shared" si="124"/>
        <v/>
      </c>
      <c r="EO756" s="531" t="str">
        <f t="shared" si="125"/>
        <v/>
      </c>
      <c r="EP756" s="531" t="str">
        <f t="shared" si="126"/>
        <v/>
      </c>
      <c r="EQ756" s="531" t="str">
        <f t="shared" si="127"/>
        <v/>
      </c>
      <c r="ER756" s="531" t="str">
        <f t="shared" si="128"/>
        <v/>
      </c>
      <c r="ES756" s="531" t="str">
        <f t="shared" si="129"/>
        <v/>
      </c>
      <c r="ET756" s="531" t="str">
        <f t="shared" si="130"/>
        <v/>
      </c>
      <c r="EU756" s="531" t="str">
        <f t="shared" si="131"/>
        <v/>
      </c>
      <c r="EV756" s="531" t="str">
        <f t="shared" si="132"/>
        <v/>
      </c>
      <c r="EW756" s="1554" t="str">
        <f t="shared" si="133"/>
        <v/>
      </c>
      <c r="EX756" s="1554">
        <f t="shared" si="134"/>
        <v>23</v>
      </c>
      <c r="EY756" s="1554" t="str">
        <f t="shared" si="135"/>
        <v/>
      </c>
      <c r="EZ756" s="1554" t="str">
        <f t="shared" si="136"/>
        <v/>
      </c>
      <c r="FA756" s="1554" t="str">
        <f t="shared" si="137"/>
        <v/>
      </c>
      <c r="FB756" s="1554" t="str">
        <f t="shared" si="138"/>
        <v/>
      </c>
      <c r="FC756" s="1554" t="str">
        <f t="shared" si="139"/>
        <v/>
      </c>
      <c r="FD756" s="1554" t="str">
        <f t="shared" si="140"/>
        <v/>
      </c>
      <c r="FE756" s="1554" t="str">
        <f t="shared" si="141"/>
        <v/>
      </c>
      <c r="FF756" s="1554" t="str">
        <f t="shared" si="142"/>
        <v/>
      </c>
      <c r="FG756" s="1554" t="str">
        <f t="shared" si="143"/>
        <v/>
      </c>
      <c r="FH756" s="1554" t="str">
        <f t="shared" si="144"/>
        <v/>
      </c>
      <c r="FI756" s="1554" t="str">
        <f t="shared" si="145"/>
        <v/>
      </c>
      <c r="FJ756" s="1554" t="str">
        <f t="shared" si="146"/>
        <v/>
      </c>
      <c r="FK756" s="1554" t="str">
        <f t="shared" si="147"/>
        <v/>
      </c>
      <c r="FL756" s="1554" t="str">
        <f t="shared" si="148"/>
        <v/>
      </c>
      <c r="FM756" s="1554" t="str">
        <f t="shared" si="149"/>
        <v/>
      </c>
      <c r="FN756" s="1554" t="str">
        <f t="shared" si="150"/>
        <v/>
      </c>
      <c r="FO756" s="1554" t="str">
        <f t="shared" si="151"/>
        <v/>
      </c>
      <c r="FP756" s="1554" t="str">
        <f t="shared" si="152"/>
        <v/>
      </c>
      <c r="FQ756" s="1554" t="str">
        <f t="shared" si="153"/>
        <v/>
      </c>
      <c r="FR756" s="1554" t="str">
        <f t="shared" si="154"/>
        <v/>
      </c>
      <c r="FS756" s="1554" t="str">
        <f t="shared" si="155"/>
        <v/>
      </c>
      <c r="FT756" s="1554" t="str">
        <f t="shared" si="156"/>
        <v/>
      </c>
      <c r="FU756" s="1554" t="str">
        <f t="shared" si="157"/>
        <v/>
      </c>
      <c r="FV756" s="1554" t="str">
        <f t="shared" si="158"/>
        <v/>
      </c>
      <c r="FW756" s="1554" t="str">
        <f t="shared" si="159"/>
        <v/>
      </c>
      <c r="FX756" s="1554" t="str">
        <f t="shared" si="160"/>
        <v/>
      </c>
      <c r="FY756" s="1554" t="str">
        <f t="shared" si="161"/>
        <v/>
      </c>
      <c r="FZ756" s="1554" t="str">
        <f t="shared" si="162"/>
        <v/>
      </c>
      <c r="GA756" s="1554" t="str">
        <f t="shared" si="163"/>
        <v/>
      </c>
      <c r="GB756" s="1554" t="str">
        <f t="shared" si="164"/>
        <v/>
      </c>
      <c r="GC756" s="1554" t="str">
        <f t="shared" si="165"/>
        <v/>
      </c>
      <c r="GD756" s="1554" t="str">
        <f t="shared" si="166"/>
        <v/>
      </c>
      <c r="GE756" s="1554" t="str">
        <f t="shared" si="167"/>
        <v/>
      </c>
      <c r="GF756" s="1554" t="str">
        <f t="shared" si="168"/>
        <v/>
      </c>
      <c r="GG756" s="1554" t="str">
        <f t="shared" si="169"/>
        <v/>
      </c>
      <c r="GH756" s="1554" t="str">
        <f t="shared" si="170"/>
        <v/>
      </c>
      <c r="GI756" s="1554" t="str">
        <f t="shared" si="171"/>
        <v/>
      </c>
      <c r="GJ756" s="1554" t="str">
        <f t="shared" si="172"/>
        <v/>
      </c>
      <c r="GK756" s="1554" t="str">
        <f t="shared" si="173"/>
        <v/>
      </c>
      <c r="GL756" s="1554" t="str">
        <f t="shared" si="174"/>
        <v/>
      </c>
      <c r="GM756" s="1554" t="str">
        <f t="shared" si="175"/>
        <v/>
      </c>
      <c r="GN756" s="1554" t="str">
        <f t="shared" si="176"/>
        <v/>
      </c>
      <c r="GO756" s="1554" t="str">
        <f t="shared" si="177"/>
        <v/>
      </c>
      <c r="GP756" s="1554" t="str">
        <f t="shared" si="178"/>
        <v/>
      </c>
      <c r="GQ756" s="1554" t="str">
        <f t="shared" si="179"/>
        <v/>
      </c>
      <c r="GR756" s="1554" t="str">
        <f t="shared" si="180"/>
        <v/>
      </c>
      <c r="GS756" s="1554" t="str">
        <f t="shared" si="181"/>
        <v/>
      </c>
      <c r="GT756" s="1554" t="str">
        <f t="shared" si="182"/>
        <v/>
      </c>
      <c r="GU756" s="1554" t="str">
        <f t="shared" si="183"/>
        <v/>
      </c>
      <c r="GV756" s="1554" t="str">
        <f t="shared" si="184"/>
        <v/>
      </c>
      <c r="GW756" s="1554" t="str">
        <f t="shared" si="185"/>
        <v/>
      </c>
      <c r="GX756" s="1554" t="str">
        <f t="shared" si="186"/>
        <v/>
      </c>
      <c r="GY756" s="1554" t="str">
        <f t="shared" si="187"/>
        <v/>
      </c>
      <c r="GZ756" s="1554" t="str">
        <f t="shared" si="188"/>
        <v/>
      </c>
      <c r="HA756" s="1554" t="str">
        <f t="shared" si="189"/>
        <v/>
      </c>
      <c r="HB756" s="1554" t="str">
        <f t="shared" si="190"/>
        <v/>
      </c>
      <c r="HC756" s="1554" t="str">
        <f t="shared" si="191"/>
        <v/>
      </c>
      <c r="HD756" s="1554" t="str">
        <f t="shared" si="192"/>
        <v/>
      </c>
      <c r="HE756" s="1554" t="str">
        <f t="shared" si="193"/>
        <v/>
      </c>
      <c r="HF756" s="1554" t="str">
        <f t="shared" si="194"/>
        <v/>
      </c>
      <c r="HG756" s="1554" t="str">
        <f t="shared" si="195"/>
        <v/>
      </c>
      <c r="HH756" s="1554" t="str">
        <f t="shared" si="196"/>
        <v/>
      </c>
      <c r="HI756" s="1554" t="str">
        <f t="shared" si="197"/>
        <v/>
      </c>
      <c r="HJ756" s="1554" t="str">
        <f t="shared" si="198"/>
        <v/>
      </c>
      <c r="HK756" s="1554" t="str">
        <f t="shared" si="199"/>
        <v/>
      </c>
      <c r="HL756" s="1554" t="str">
        <f t="shared" si="200"/>
        <v/>
      </c>
      <c r="HM756" s="1554" t="str">
        <f t="shared" si="201"/>
        <v/>
      </c>
      <c r="HN756" s="1554" t="str">
        <f t="shared" si="202"/>
        <v/>
      </c>
      <c r="HO756" s="1554" t="str">
        <f t="shared" si="203"/>
        <v/>
      </c>
      <c r="HP756" s="1554" t="str">
        <f t="shared" si="204"/>
        <v/>
      </c>
      <c r="HQ756" s="1554" t="str">
        <f t="shared" si="205"/>
        <v/>
      </c>
      <c r="HR756" s="1554" t="str">
        <f t="shared" si="206"/>
        <v/>
      </c>
      <c r="HS756" s="1554" t="str">
        <f t="shared" si="207"/>
        <v/>
      </c>
      <c r="HT756" s="1554" t="str">
        <f t="shared" si="208"/>
        <v/>
      </c>
      <c r="HU756" s="1554">
        <f t="shared" si="209"/>
        <v>23</v>
      </c>
      <c r="HV756" s="1554" t="str">
        <f t="shared" si="210"/>
        <v/>
      </c>
      <c r="HW756" s="1554" t="str">
        <f t="shared" si="211"/>
        <v/>
      </c>
      <c r="HX756" s="1554" t="str">
        <f t="shared" si="212"/>
        <v/>
      </c>
      <c r="HY756" s="1554" t="str">
        <f t="shared" si="213"/>
        <v/>
      </c>
      <c r="HZ756" s="1554" t="str">
        <f t="shared" si="214"/>
        <v/>
      </c>
      <c r="IA756" s="1554" t="str">
        <f t="shared" si="215"/>
        <v/>
      </c>
      <c r="IB756" s="1554" t="str">
        <f t="shared" si="216"/>
        <v/>
      </c>
      <c r="IC756" s="1554" t="str">
        <f t="shared" si="217"/>
        <v/>
      </c>
      <c r="ID756" s="31" t="str">
        <f t="shared" si="218"/>
        <v/>
      </c>
      <c r="IE756" s="31" t="str">
        <f t="shared" si="219"/>
        <v/>
      </c>
      <c r="IF756" s="31" t="str">
        <f t="shared" si="220"/>
        <v/>
      </c>
      <c r="IG756" s="31" t="str">
        <f t="shared" si="221"/>
        <v/>
      </c>
      <c r="IH756" s="31" t="str">
        <f t="shared" si="222"/>
        <v/>
      </c>
      <c r="II756" s="531" t="str">
        <f t="shared" si="223"/>
        <v/>
      </c>
      <c r="IJ756" s="531" t="str">
        <f t="shared" si="224"/>
        <v/>
      </c>
      <c r="IK756" s="531" t="str">
        <f t="shared" si="225"/>
        <v/>
      </c>
      <c r="IL756" s="531" t="str">
        <f t="shared" si="226"/>
        <v/>
      </c>
      <c r="IM756" s="531" t="str">
        <f t="shared" si="227"/>
        <v/>
      </c>
      <c r="IN756" s="531" t="str">
        <f t="shared" si="228"/>
        <v/>
      </c>
      <c r="IO756" s="531" t="str">
        <f t="shared" si="229"/>
        <v/>
      </c>
      <c r="IP756" s="531" t="str">
        <f t="shared" si="230"/>
        <v/>
      </c>
      <c r="IQ756" s="531" t="str">
        <f t="shared" si="231"/>
        <v/>
      </c>
      <c r="IR756" s="531" t="str">
        <f t="shared" si="232"/>
        <v/>
      </c>
      <c r="IS756" s="531" t="str">
        <f t="shared" si="233"/>
        <v/>
      </c>
      <c r="IT756" s="531" t="str">
        <f t="shared" si="234"/>
        <v/>
      </c>
      <c r="IU756" s="531" t="str">
        <f t="shared" si="235"/>
        <v/>
      </c>
      <c r="IV756" s="531" t="str">
        <f t="shared" si="236"/>
        <v/>
      </c>
      <c r="IW756" s="531" t="str">
        <f t="shared" si="237"/>
        <v/>
      </c>
      <c r="IX756" s="531" t="str">
        <f t="shared" si="238"/>
        <v/>
      </c>
      <c r="IY756" s="531" t="str">
        <f t="shared" si="239"/>
        <v/>
      </c>
      <c r="IZ756" s="531" t="str">
        <f t="shared" si="240"/>
        <v/>
      </c>
      <c r="JA756" s="531" t="str">
        <f t="shared" si="241"/>
        <v/>
      </c>
      <c r="JB756" s="531" t="str">
        <f t="shared" si="242"/>
        <v/>
      </c>
      <c r="JC756" s="615">
        <f t="shared" si="243"/>
        <v>0</v>
      </c>
      <c r="JD756" s="615">
        <f t="shared" si="244"/>
        <v>23</v>
      </c>
      <c r="JE756" s="615">
        <f t="shared" si="245"/>
        <v>0</v>
      </c>
      <c r="JF756" s="615">
        <f t="shared" si="246"/>
        <v>0</v>
      </c>
      <c r="JG756" s="615">
        <f t="shared" si="247"/>
        <v>0</v>
      </c>
      <c r="JH756" s="615">
        <f t="shared" si="248"/>
        <v>0</v>
      </c>
      <c r="JI756" s="615">
        <f t="shared" si="249"/>
        <v>0</v>
      </c>
      <c r="JJ756" s="615">
        <f t="shared" si="250"/>
        <v>0</v>
      </c>
      <c r="JK756" s="615">
        <f t="shared" si="251"/>
        <v>0</v>
      </c>
      <c r="JL756" s="615">
        <f t="shared" si="252"/>
        <v>0</v>
      </c>
      <c r="JM756" s="615">
        <f t="shared" si="253"/>
        <v>0</v>
      </c>
      <c r="JN756" s="615">
        <f t="shared" si="254"/>
        <v>0</v>
      </c>
      <c r="JO756" s="615">
        <f t="shared" si="255"/>
        <v>0</v>
      </c>
      <c r="JP756" s="615">
        <f t="shared" si="256"/>
        <v>0</v>
      </c>
      <c r="JQ756" s="615">
        <f t="shared" si="257"/>
        <v>0</v>
      </c>
    </row>
    <row r="757" spans="1:277" ht="12" customHeight="1">
      <c r="A757" s="1190" t="str">
        <f t="shared" si="0"/>
        <v/>
      </c>
      <c r="B757" s="1545" t="str">
        <f>'Part VI-Revenues &amp; Expenses'!B14</f>
        <v>60% AMI</v>
      </c>
      <c r="C757" s="1546">
        <f>'Part VI-Revenues &amp; Expenses'!C14</f>
        <v>1</v>
      </c>
      <c r="D757" s="1547">
        <f>'Part VI-Revenues &amp; Expenses'!D14</f>
        <v>1</v>
      </c>
      <c r="E757" s="1548">
        <f>'Part VI-Revenues &amp; Expenses'!E14</f>
        <v>26</v>
      </c>
      <c r="F757" s="1548">
        <f>'Part VI-Revenues &amp; Expenses'!F14</f>
        <v>557</v>
      </c>
      <c r="G757" s="1548">
        <f>'Part VI-Revenues &amp; Expenses'!G14</f>
        <v>759</v>
      </c>
      <c r="H757" s="1548">
        <f>'Part VI-Revenues &amp; Expenses'!H14</f>
        <v>1000</v>
      </c>
      <c r="I757" s="1548">
        <f>'Part VI-Revenues &amp; Expenses'!I14</f>
        <v>0</v>
      </c>
      <c r="J757" s="1549" t="str">
        <f>'Part VI-Revenues &amp; Expenses'!J14</f>
        <v>HUD</v>
      </c>
      <c r="K757" s="1550">
        <f t="shared" si="1"/>
        <v>1000</v>
      </c>
      <c r="L757" s="1550">
        <f t="shared" si="2"/>
        <v>26000</v>
      </c>
      <c r="M757" s="1551" t="str">
        <f>'Part VI-Revenues &amp; Expenses'!M14</f>
        <v>No</v>
      </c>
      <c r="N757" s="1551" t="str">
        <f>'Part VI-Revenues &amp; Expenses'!N14</f>
        <v>3+ Story</v>
      </c>
      <c r="O757" s="1551" t="str">
        <f>'Part VI-Revenues &amp; Expenses'!O14</f>
        <v>Acquisition/Rehab</v>
      </c>
      <c r="P757" s="1406" t="str">
        <f>'Part VI-Revenues &amp; Expenses'!P14</f>
        <v>No</v>
      </c>
      <c r="Q757" s="1552">
        <f>'Part VI-Revenues &amp; Expenses'!Q14</f>
        <v>40000</v>
      </c>
      <c r="R757" s="1553">
        <f>'Part VI-Revenues &amp; Expenses'!R14</f>
        <v>0.78086871644704736</v>
      </c>
      <c r="S757" s="1552">
        <f>'Part VI-Revenues &amp; Expenses'!S14</f>
        <v>0</v>
      </c>
      <c r="T757" s="1553">
        <f>'Part VI-Revenues &amp; Expenses'!T14</f>
        <v>0</v>
      </c>
      <c r="U757" s="1477"/>
      <c r="V757" s="1477"/>
      <c r="W757" s="531" t="str">
        <f t="shared" si="3"/>
        <v/>
      </c>
      <c r="X757" s="531">
        <f t="shared" si="4"/>
        <v>26</v>
      </c>
      <c r="Y757" s="531" t="str">
        <f t="shared" si="5"/>
        <v/>
      </c>
      <c r="Z757" s="531" t="str">
        <f t="shared" si="6"/>
        <v/>
      </c>
      <c r="AA757" s="531" t="str">
        <f t="shared" si="7"/>
        <v/>
      </c>
      <c r="AB757" s="531" t="str">
        <f t="shared" si="8"/>
        <v/>
      </c>
      <c r="AC757" s="531" t="str">
        <f t="shared" si="9"/>
        <v/>
      </c>
      <c r="AD757" s="531" t="str">
        <f t="shared" si="10"/>
        <v/>
      </c>
      <c r="AE757" s="531" t="str">
        <f t="shared" si="11"/>
        <v/>
      </c>
      <c r="AF757" s="531" t="str">
        <f t="shared" si="12"/>
        <v/>
      </c>
      <c r="AG757" s="531" t="str">
        <f t="shared" si="13"/>
        <v/>
      </c>
      <c r="AH757" s="531" t="str">
        <f t="shared" si="14"/>
        <v/>
      </c>
      <c r="AI757" s="531" t="str">
        <f t="shared" si="15"/>
        <v/>
      </c>
      <c r="AJ757" s="531" t="str">
        <f t="shared" si="16"/>
        <v/>
      </c>
      <c r="AK757" s="531" t="str">
        <f t="shared" si="17"/>
        <v/>
      </c>
      <c r="AL757" s="531" t="str">
        <f t="shared" si="18"/>
        <v/>
      </c>
      <c r="AM757" s="531" t="str">
        <f t="shared" si="19"/>
        <v/>
      </c>
      <c r="AN757" s="531" t="str">
        <f t="shared" si="20"/>
        <v/>
      </c>
      <c r="AO757" s="531" t="str">
        <f t="shared" si="21"/>
        <v/>
      </c>
      <c r="AP757" s="531" t="str">
        <f t="shared" si="22"/>
        <v/>
      </c>
      <c r="AQ757" s="531" t="str">
        <f t="shared" si="23"/>
        <v/>
      </c>
      <c r="AR757" s="531" t="str">
        <f t="shared" si="24"/>
        <v/>
      </c>
      <c r="AS757" s="531" t="str">
        <f t="shared" si="25"/>
        <v/>
      </c>
      <c r="AT757" s="531" t="str">
        <f t="shared" si="26"/>
        <v/>
      </c>
      <c r="AU757" s="531" t="str">
        <f t="shared" si="27"/>
        <v/>
      </c>
      <c r="AV757" s="531" t="str">
        <f t="shared" si="28"/>
        <v/>
      </c>
      <c r="AW757" s="531" t="str">
        <f t="shared" si="29"/>
        <v/>
      </c>
      <c r="AX757" s="531" t="str">
        <f t="shared" si="30"/>
        <v/>
      </c>
      <c r="AY757" s="531" t="str">
        <f t="shared" si="31"/>
        <v/>
      </c>
      <c r="AZ757" s="531" t="str">
        <f t="shared" si="32"/>
        <v/>
      </c>
      <c r="BA757" s="531" t="str">
        <f t="shared" si="33"/>
        <v/>
      </c>
      <c r="BB757" s="531">
        <f t="shared" si="34"/>
        <v>26</v>
      </c>
      <c r="BC757" s="531" t="str">
        <f t="shared" si="35"/>
        <v/>
      </c>
      <c r="BD757" s="531" t="str">
        <f t="shared" si="36"/>
        <v/>
      </c>
      <c r="BE757" s="531" t="str">
        <f t="shared" si="37"/>
        <v/>
      </c>
      <c r="BF757" s="531" t="str">
        <f t="shared" si="38"/>
        <v/>
      </c>
      <c r="BG757" s="531" t="str">
        <f t="shared" si="39"/>
        <v/>
      </c>
      <c r="BH757" s="531" t="str">
        <f t="shared" si="40"/>
        <v/>
      </c>
      <c r="BI757" s="531" t="str">
        <f t="shared" si="41"/>
        <v/>
      </c>
      <c r="BJ757" s="531" t="str">
        <f t="shared" si="42"/>
        <v/>
      </c>
      <c r="BK757" s="531" t="str">
        <f t="shared" si="43"/>
        <v/>
      </c>
      <c r="BL757" s="531" t="str">
        <f t="shared" si="44"/>
        <v/>
      </c>
      <c r="BM757" s="531" t="str">
        <f t="shared" si="45"/>
        <v/>
      </c>
      <c r="BN757" s="531" t="str">
        <f t="shared" si="46"/>
        <v/>
      </c>
      <c r="BO757" s="531" t="str">
        <f t="shared" si="47"/>
        <v/>
      </c>
      <c r="BP757" s="531" t="str">
        <f t="shared" si="48"/>
        <v/>
      </c>
      <c r="BQ757" s="531" t="str">
        <f t="shared" si="49"/>
        <v/>
      </c>
      <c r="BR757" s="531" t="str">
        <f t="shared" si="50"/>
        <v/>
      </c>
      <c r="BS757" s="531" t="str">
        <f t="shared" si="51"/>
        <v/>
      </c>
      <c r="BT757" s="531" t="str">
        <f t="shared" si="52"/>
        <v/>
      </c>
      <c r="BU757" s="531" t="str">
        <f t="shared" si="53"/>
        <v/>
      </c>
      <c r="BV757" s="531" t="str">
        <f t="shared" si="54"/>
        <v/>
      </c>
      <c r="BW757" s="531" t="str">
        <f t="shared" si="55"/>
        <v/>
      </c>
      <c r="BX757" s="531" t="str">
        <f t="shared" si="56"/>
        <v/>
      </c>
      <c r="BY757" s="531" t="str">
        <f t="shared" si="57"/>
        <v/>
      </c>
      <c r="BZ757" s="531" t="str">
        <f t="shared" si="58"/>
        <v/>
      </c>
      <c r="CA757" s="531">
        <f t="shared" si="59"/>
        <v>14482</v>
      </c>
      <c r="CB757" s="531" t="str">
        <f t="shared" si="60"/>
        <v/>
      </c>
      <c r="CC757" s="531" t="str">
        <f t="shared" si="61"/>
        <v/>
      </c>
      <c r="CD757" s="531" t="str">
        <f t="shared" si="62"/>
        <v/>
      </c>
      <c r="CE757" s="531" t="str">
        <f t="shared" si="63"/>
        <v/>
      </c>
      <c r="CF757" s="531" t="str">
        <f t="shared" si="64"/>
        <v/>
      </c>
      <c r="CG757" s="531" t="str">
        <f t="shared" si="65"/>
        <v/>
      </c>
      <c r="CH757" s="531" t="str">
        <f t="shared" si="66"/>
        <v/>
      </c>
      <c r="CI757" s="531" t="str">
        <f t="shared" si="67"/>
        <v/>
      </c>
      <c r="CJ757" s="531" t="str">
        <f t="shared" si="68"/>
        <v/>
      </c>
      <c r="CK757" s="531" t="str">
        <f t="shared" si="69"/>
        <v/>
      </c>
      <c r="CL757" s="531" t="str">
        <f t="shared" si="70"/>
        <v/>
      </c>
      <c r="CM757" s="531" t="str">
        <f t="shared" si="71"/>
        <v/>
      </c>
      <c r="CN757" s="531" t="str">
        <f t="shared" si="72"/>
        <v/>
      </c>
      <c r="CO757" s="531" t="str">
        <f t="shared" si="73"/>
        <v/>
      </c>
      <c r="CP757" s="531" t="str">
        <f t="shared" si="74"/>
        <v/>
      </c>
      <c r="CQ757" s="531" t="str">
        <f t="shared" si="75"/>
        <v/>
      </c>
      <c r="CR757" s="531" t="str">
        <f t="shared" si="76"/>
        <v/>
      </c>
      <c r="CS757" s="531" t="str">
        <f t="shared" si="77"/>
        <v/>
      </c>
      <c r="CT757" s="531" t="str">
        <f t="shared" si="78"/>
        <v/>
      </c>
      <c r="CU757" s="531">
        <f t="shared" si="79"/>
        <v>14482</v>
      </c>
      <c r="CV757" s="531" t="str">
        <f t="shared" si="80"/>
        <v/>
      </c>
      <c r="CW757" s="531" t="str">
        <f t="shared" si="81"/>
        <v/>
      </c>
      <c r="CX757" s="531" t="str">
        <f t="shared" si="82"/>
        <v/>
      </c>
      <c r="CY757" s="531" t="str">
        <f t="shared" si="83"/>
        <v/>
      </c>
      <c r="CZ757" s="531" t="str">
        <f t="shared" si="84"/>
        <v/>
      </c>
      <c r="DA757" s="531" t="str">
        <f t="shared" si="85"/>
        <v/>
      </c>
      <c r="DB757" s="531" t="str">
        <f t="shared" si="86"/>
        <v/>
      </c>
      <c r="DC757" s="531" t="str">
        <f t="shared" si="87"/>
        <v/>
      </c>
      <c r="DD757" s="531" t="str">
        <f t="shared" si="88"/>
        <v/>
      </c>
      <c r="DE757" s="531" t="str">
        <f t="shared" si="89"/>
        <v/>
      </c>
      <c r="DF757" s="531" t="str">
        <f t="shared" si="90"/>
        <v/>
      </c>
      <c r="DG757" s="531" t="str">
        <f t="shared" si="91"/>
        <v/>
      </c>
      <c r="DH757" s="531" t="str">
        <f t="shared" si="92"/>
        <v/>
      </c>
      <c r="DI757" s="531" t="str">
        <f t="shared" si="93"/>
        <v/>
      </c>
      <c r="DJ757" s="531" t="str">
        <f t="shared" si="94"/>
        <v/>
      </c>
      <c r="DK757" s="531" t="str">
        <f t="shared" si="95"/>
        <v/>
      </c>
      <c r="DL757" s="531" t="str">
        <f t="shared" si="96"/>
        <v/>
      </c>
      <c r="DM757" s="531" t="str">
        <f t="shared" si="97"/>
        <v/>
      </c>
      <c r="DN757" s="531" t="str">
        <f t="shared" si="98"/>
        <v/>
      </c>
      <c r="DO757" s="531" t="str">
        <f t="shared" si="99"/>
        <v/>
      </c>
      <c r="DP757" s="531" t="str">
        <f t="shared" si="100"/>
        <v/>
      </c>
      <c r="DQ757" s="531" t="str">
        <f t="shared" si="101"/>
        <v/>
      </c>
      <c r="DR757" s="531" t="str">
        <f t="shared" si="102"/>
        <v/>
      </c>
      <c r="DS757" s="531" t="str">
        <f t="shared" si="103"/>
        <v/>
      </c>
      <c r="DT757" s="531">
        <f t="shared" si="104"/>
        <v>26</v>
      </c>
      <c r="DU757" s="531" t="str">
        <f t="shared" si="105"/>
        <v/>
      </c>
      <c r="DV757" s="531" t="str">
        <f t="shared" si="106"/>
        <v/>
      </c>
      <c r="DW757" s="531" t="str">
        <f t="shared" si="107"/>
        <v/>
      </c>
      <c r="DX757" s="531" t="str">
        <f t="shared" si="108"/>
        <v/>
      </c>
      <c r="DY757" s="531" t="str">
        <f t="shared" si="109"/>
        <v/>
      </c>
      <c r="DZ757" s="531" t="str">
        <f t="shared" si="110"/>
        <v/>
      </c>
      <c r="EA757" s="531" t="str">
        <f t="shared" si="111"/>
        <v/>
      </c>
      <c r="EB757" s="531" t="str">
        <f t="shared" si="112"/>
        <v/>
      </c>
      <c r="EC757" s="531" t="str">
        <f t="shared" si="113"/>
        <v/>
      </c>
      <c r="ED757" s="531" t="str">
        <f t="shared" si="114"/>
        <v/>
      </c>
      <c r="EE757" s="531" t="str">
        <f t="shared" si="115"/>
        <v/>
      </c>
      <c r="EF757" s="531" t="str">
        <f t="shared" si="116"/>
        <v/>
      </c>
      <c r="EG757" s="531" t="str">
        <f t="shared" si="117"/>
        <v/>
      </c>
      <c r="EH757" s="531" t="str">
        <f t="shared" si="118"/>
        <v/>
      </c>
      <c r="EI757" s="531" t="str">
        <f t="shared" si="119"/>
        <v/>
      </c>
      <c r="EJ757" s="531" t="str">
        <f t="shared" si="120"/>
        <v/>
      </c>
      <c r="EK757" s="531" t="str">
        <f t="shared" si="121"/>
        <v/>
      </c>
      <c r="EL757" s="531" t="str">
        <f t="shared" si="122"/>
        <v/>
      </c>
      <c r="EM757" s="531" t="str">
        <f t="shared" si="123"/>
        <v/>
      </c>
      <c r="EN757" s="531" t="str">
        <f t="shared" si="124"/>
        <v/>
      </c>
      <c r="EO757" s="531" t="str">
        <f t="shared" si="125"/>
        <v/>
      </c>
      <c r="EP757" s="531" t="str">
        <f t="shared" si="126"/>
        <v/>
      </c>
      <c r="EQ757" s="531" t="str">
        <f t="shared" si="127"/>
        <v/>
      </c>
      <c r="ER757" s="531" t="str">
        <f t="shared" si="128"/>
        <v/>
      </c>
      <c r="ES757" s="531" t="str">
        <f t="shared" si="129"/>
        <v/>
      </c>
      <c r="ET757" s="531" t="str">
        <f t="shared" si="130"/>
        <v/>
      </c>
      <c r="EU757" s="531" t="str">
        <f t="shared" si="131"/>
        <v/>
      </c>
      <c r="EV757" s="531" t="str">
        <f t="shared" si="132"/>
        <v/>
      </c>
      <c r="EW757" s="1554" t="str">
        <f t="shared" si="133"/>
        <v/>
      </c>
      <c r="EX757" s="1554">
        <f t="shared" si="134"/>
        <v>26</v>
      </c>
      <c r="EY757" s="1554" t="str">
        <f t="shared" si="135"/>
        <v/>
      </c>
      <c r="EZ757" s="1554" t="str">
        <f t="shared" si="136"/>
        <v/>
      </c>
      <c r="FA757" s="1554" t="str">
        <f t="shared" si="137"/>
        <v/>
      </c>
      <c r="FB757" s="1554" t="str">
        <f t="shared" si="138"/>
        <v/>
      </c>
      <c r="FC757" s="1554" t="str">
        <f t="shared" si="139"/>
        <v/>
      </c>
      <c r="FD757" s="1554" t="str">
        <f t="shared" si="140"/>
        <v/>
      </c>
      <c r="FE757" s="1554" t="str">
        <f t="shared" si="141"/>
        <v/>
      </c>
      <c r="FF757" s="1554" t="str">
        <f t="shared" si="142"/>
        <v/>
      </c>
      <c r="FG757" s="1554" t="str">
        <f t="shared" si="143"/>
        <v/>
      </c>
      <c r="FH757" s="1554" t="str">
        <f t="shared" si="144"/>
        <v/>
      </c>
      <c r="FI757" s="1554" t="str">
        <f t="shared" si="145"/>
        <v/>
      </c>
      <c r="FJ757" s="1554" t="str">
        <f t="shared" si="146"/>
        <v/>
      </c>
      <c r="FK757" s="1554" t="str">
        <f t="shared" si="147"/>
        <v/>
      </c>
      <c r="FL757" s="1554" t="str">
        <f t="shared" si="148"/>
        <v/>
      </c>
      <c r="FM757" s="1554" t="str">
        <f t="shared" si="149"/>
        <v/>
      </c>
      <c r="FN757" s="1554" t="str">
        <f t="shared" si="150"/>
        <v/>
      </c>
      <c r="FO757" s="1554" t="str">
        <f t="shared" si="151"/>
        <v/>
      </c>
      <c r="FP757" s="1554" t="str">
        <f t="shared" si="152"/>
        <v/>
      </c>
      <c r="FQ757" s="1554" t="str">
        <f t="shared" si="153"/>
        <v/>
      </c>
      <c r="FR757" s="1554" t="str">
        <f t="shared" si="154"/>
        <v/>
      </c>
      <c r="FS757" s="1554" t="str">
        <f t="shared" si="155"/>
        <v/>
      </c>
      <c r="FT757" s="1554" t="str">
        <f t="shared" si="156"/>
        <v/>
      </c>
      <c r="FU757" s="1554" t="str">
        <f t="shared" si="157"/>
        <v/>
      </c>
      <c r="FV757" s="1554" t="str">
        <f t="shared" si="158"/>
        <v/>
      </c>
      <c r="FW757" s="1554" t="str">
        <f t="shared" si="159"/>
        <v/>
      </c>
      <c r="FX757" s="1554" t="str">
        <f t="shared" si="160"/>
        <v/>
      </c>
      <c r="FY757" s="1554" t="str">
        <f t="shared" si="161"/>
        <v/>
      </c>
      <c r="FZ757" s="1554" t="str">
        <f t="shared" si="162"/>
        <v/>
      </c>
      <c r="GA757" s="1554" t="str">
        <f t="shared" si="163"/>
        <v/>
      </c>
      <c r="GB757" s="1554" t="str">
        <f t="shared" si="164"/>
        <v/>
      </c>
      <c r="GC757" s="1554" t="str">
        <f t="shared" si="165"/>
        <v/>
      </c>
      <c r="GD757" s="1554" t="str">
        <f t="shared" si="166"/>
        <v/>
      </c>
      <c r="GE757" s="1554" t="str">
        <f t="shared" si="167"/>
        <v/>
      </c>
      <c r="GF757" s="1554" t="str">
        <f t="shared" si="168"/>
        <v/>
      </c>
      <c r="GG757" s="1554" t="str">
        <f t="shared" si="169"/>
        <v/>
      </c>
      <c r="GH757" s="1554" t="str">
        <f t="shared" si="170"/>
        <v/>
      </c>
      <c r="GI757" s="1554" t="str">
        <f t="shared" si="171"/>
        <v/>
      </c>
      <c r="GJ757" s="1554" t="str">
        <f t="shared" si="172"/>
        <v/>
      </c>
      <c r="GK757" s="1554" t="str">
        <f t="shared" si="173"/>
        <v/>
      </c>
      <c r="GL757" s="1554" t="str">
        <f t="shared" si="174"/>
        <v/>
      </c>
      <c r="GM757" s="1554" t="str">
        <f t="shared" si="175"/>
        <v/>
      </c>
      <c r="GN757" s="1554" t="str">
        <f t="shared" si="176"/>
        <v/>
      </c>
      <c r="GO757" s="1554" t="str">
        <f t="shared" si="177"/>
        <v/>
      </c>
      <c r="GP757" s="1554" t="str">
        <f t="shared" si="178"/>
        <v/>
      </c>
      <c r="GQ757" s="1554" t="str">
        <f t="shared" si="179"/>
        <v/>
      </c>
      <c r="GR757" s="1554" t="str">
        <f t="shared" si="180"/>
        <v/>
      </c>
      <c r="GS757" s="1554" t="str">
        <f t="shared" si="181"/>
        <v/>
      </c>
      <c r="GT757" s="1554" t="str">
        <f t="shared" si="182"/>
        <v/>
      </c>
      <c r="GU757" s="1554" t="str">
        <f t="shared" si="183"/>
        <v/>
      </c>
      <c r="GV757" s="1554" t="str">
        <f t="shared" si="184"/>
        <v/>
      </c>
      <c r="GW757" s="1554" t="str">
        <f t="shared" si="185"/>
        <v/>
      </c>
      <c r="GX757" s="1554" t="str">
        <f t="shared" si="186"/>
        <v/>
      </c>
      <c r="GY757" s="1554" t="str">
        <f t="shared" si="187"/>
        <v/>
      </c>
      <c r="GZ757" s="1554" t="str">
        <f t="shared" si="188"/>
        <v/>
      </c>
      <c r="HA757" s="1554" t="str">
        <f t="shared" si="189"/>
        <v/>
      </c>
      <c r="HB757" s="1554" t="str">
        <f t="shared" si="190"/>
        <v/>
      </c>
      <c r="HC757" s="1554" t="str">
        <f t="shared" si="191"/>
        <v/>
      </c>
      <c r="HD757" s="1554" t="str">
        <f t="shared" si="192"/>
        <v/>
      </c>
      <c r="HE757" s="1554" t="str">
        <f t="shared" si="193"/>
        <v/>
      </c>
      <c r="HF757" s="1554" t="str">
        <f t="shared" si="194"/>
        <v/>
      </c>
      <c r="HG757" s="1554" t="str">
        <f t="shared" si="195"/>
        <v/>
      </c>
      <c r="HH757" s="1554" t="str">
        <f t="shared" si="196"/>
        <v/>
      </c>
      <c r="HI757" s="1554" t="str">
        <f t="shared" si="197"/>
        <v/>
      </c>
      <c r="HJ757" s="1554" t="str">
        <f t="shared" si="198"/>
        <v/>
      </c>
      <c r="HK757" s="1554" t="str">
        <f t="shared" si="199"/>
        <v/>
      </c>
      <c r="HL757" s="1554" t="str">
        <f t="shared" si="200"/>
        <v/>
      </c>
      <c r="HM757" s="1554" t="str">
        <f t="shared" si="201"/>
        <v/>
      </c>
      <c r="HN757" s="1554" t="str">
        <f t="shared" si="202"/>
        <v/>
      </c>
      <c r="HO757" s="1554" t="str">
        <f t="shared" si="203"/>
        <v/>
      </c>
      <c r="HP757" s="1554" t="str">
        <f t="shared" si="204"/>
        <v/>
      </c>
      <c r="HQ757" s="1554" t="str">
        <f t="shared" si="205"/>
        <v/>
      </c>
      <c r="HR757" s="1554" t="str">
        <f t="shared" si="206"/>
        <v/>
      </c>
      <c r="HS757" s="1554" t="str">
        <f t="shared" si="207"/>
        <v/>
      </c>
      <c r="HT757" s="1554" t="str">
        <f t="shared" si="208"/>
        <v/>
      </c>
      <c r="HU757" s="1554">
        <f t="shared" si="209"/>
        <v>26</v>
      </c>
      <c r="HV757" s="1554" t="str">
        <f t="shared" si="210"/>
        <v/>
      </c>
      <c r="HW757" s="1554" t="str">
        <f t="shared" si="211"/>
        <v/>
      </c>
      <c r="HX757" s="1554" t="str">
        <f t="shared" si="212"/>
        <v/>
      </c>
      <c r="HY757" s="1554" t="str">
        <f t="shared" si="213"/>
        <v/>
      </c>
      <c r="HZ757" s="1554" t="str">
        <f t="shared" si="214"/>
        <v/>
      </c>
      <c r="IA757" s="1554" t="str">
        <f t="shared" si="215"/>
        <v/>
      </c>
      <c r="IB757" s="1554" t="str">
        <f t="shared" si="216"/>
        <v/>
      </c>
      <c r="IC757" s="1554" t="str">
        <f t="shared" si="217"/>
        <v/>
      </c>
      <c r="ID757" s="31" t="str">
        <f t="shared" si="218"/>
        <v/>
      </c>
      <c r="IE757" s="31" t="str">
        <f t="shared" si="219"/>
        <v/>
      </c>
      <c r="IF757" s="31" t="str">
        <f t="shared" si="220"/>
        <v/>
      </c>
      <c r="IG757" s="31" t="str">
        <f t="shared" si="221"/>
        <v/>
      </c>
      <c r="IH757" s="31" t="str">
        <f t="shared" si="222"/>
        <v/>
      </c>
      <c r="II757" s="531" t="str">
        <f t="shared" si="223"/>
        <v/>
      </c>
      <c r="IJ757" s="531" t="str">
        <f t="shared" si="224"/>
        <v/>
      </c>
      <c r="IK757" s="531" t="str">
        <f t="shared" si="225"/>
        <v/>
      </c>
      <c r="IL757" s="531" t="str">
        <f t="shared" si="226"/>
        <v/>
      </c>
      <c r="IM757" s="531" t="str">
        <f t="shared" si="227"/>
        <v/>
      </c>
      <c r="IN757" s="531" t="str">
        <f t="shared" si="228"/>
        <v/>
      </c>
      <c r="IO757" s="531" t="str">
        <f t="shared" si="229"/>
        <v/>
      </c>
      <c r="IP757" s="531" t="str">
        <f t="shared" si="230"/>
        <v/>
      </c>
      <c r="IQ757" s="531" t="str">
        <f t="shared" si="231"/>
        <v/>
      </c>
      <c r="IR757" s="531" t="str">
        <f t="shared" si="232"/>
        <v/>
      </c>
      <c r="IS757" s="531" t="str">
        <f t="shared" si="233"/>
        <v/>
      </c>
      <c r="IT757" s="531" t="str">
        <f t="shared" si="234"/>
        <v/>
      </c>
      <c r="IU757" s="531" t="str">
        <f t="shared" si="235"/>
        <v/>
      </c>
      <c r="IV757" s="531" t="str">
        <f t="shared" si="236"/>
        <v/>
      </c>
      <c r="IW757" s="531" t="str">
        <f t="shared" si="237"/>
        <v/>
      </c>
      <c r="IX757" s="531" t="str">
        <f t="shared" si="238"/>
        <v/>
      </c>
      <c r="IY757" s="531" t="str">
        <f t="shared" si="239"/>
        <v/>
      </c>
      <c r="IZ757" s="531" t="str">
        <f t="shared" si="240"/>
        <v/>
      </c>
      <c r="JA757" s="531" t="str">
        <f t="shared" si="241"/>
        <v/>
      </c>
      <c r="JB757" s="531" t="str">
        <f t="shared" si="242"/>
        <v/>
      </c>
      <c r="JC757" s="615">
        <f t="shared" si="243"/>
        <v>0</v>
      </c>
      <c r="JD757" s="615">
        <f t="shared" si="244"/>
        <v>26</v>
      </c>
      <c r="JE757" s="615">
        <f t="shared" si="245"/>
        <v>0</v>
      </c>
      <c r="JF757" s="615">
        <f t="shared" si="246"/>
        <v>0</v>
      </c>
      <c r="JG757" s="615">
        <f t="shared" si="247"/>
        <v>0</v>
      </c>
      <c r="JH757" s="615">
        <f t="shared" si="248"/>
        <v>0</v>
      </c>
      <c r="JI757" s="615">
        <f t="shared" si="249"/>
        <v>0</v>
      </c>
      <c r="JJ757" s="615">
        <f t="shared" si="250"/>
        <v>0</v>
      </c>
      <c r="JK757" s="615">
        <f t="shared" si="251"/>
        <v>0</v>
      </c>
      <c r="JL757" s="615">
        <f t="shared" si="252"/>
        <v>0</v>
      </c>
      <c r="JM757" s="615">
        <f t="shared" si="253"/>
        <v>0</v>
      </c>
      <c r="JN757" s="615">
        <f t="shared" si="254"/>
        <v>0</v>
      </c>
      <c r="JO757" s="615">
        <f t="shared" si="255"/>
        <v>0</v>
      </c>
      <c r="JP757" s="615">
        <f t="shared" si="256"/>
        <v>0</v>
      </c>
      <c r="JQ757" s="615">
        <f t="shared" si="257"/>
        <v>0</v>
      </c>
    </row>
    <row r="758" spans="1:277" ht="12" customHeight="1">
      <c r="A758" s="1190" t="str">
        <f t="shared" si="0"/>
        <v/>
      </c>
      <c r="B758" s="1545" t="str">
        <f>'Part VI-Revenues &amp; Expenses'!B15</f>
        <v>60% AMI</v>
      </c>
      <c r="C758" s="1546">
        <f>'Part VI-Revenues &amp; Expenses'!C15</f>
        <v>1</v>
      </c>
      <c r="D758" s="1547">
        <f>'Part VI-Revenues &amp; Expenses'!D15</f>
        <v>1</v>
      </c>
      <c r="E758" s="1548">
        <f>'Part VI-Revenues &amp; Expenses'!E15</f>
        <v>52</v>
      </c>
      <c r="F758" s="1548">
        <f>'Part VI-Revenues &amp; Expenses'!F15</f>
        <v>596</v>
      </c>
      <c r="G758" s="1548">
        <f>'Part VI-Revenues &amp; Expenses'!G15</f>
        <v>759</v>
      </c>
      <c r="H758" s="1548">
        <f>'Part VI-Revenues &amp; Expenses'!H15</f>
        <v>1000</v>
      </c>
      <c r="I758" s="1548">
        <f>'Part VI-Revenues &amp; Expenses'!I15</f>
        <v>0</v>
      </c>
      <c r="J758" s="1549" t="str">
        <f>'Part VI-Revenues &amp; Expenses'!J15</f>
        <v>HUD</v>
      </c>
      <c r="K758" s="1550">
        <f t="shared" si="1"/>
        <v>1000</v>
      </c>
      <c r="L758" s="1550">
        <f t="shared" si="2"/>
        <v>52000</v>
      </c>
      <c r="M758" s="1551" t="str">
        <f>'Part VI-Revenues &amp; Expenses'!M15</f>
        <v>No</v>
      </c>
      <c r="N758" s="1551" t="str">
        <f>'Part VI-Revenues &amp; Expenses'!N15</f>
        <v>3+ Story</v>
      </c>
      <c r="O758" s="1551" t="str">
        <f>'Part VI-Revenues &amp; Expenses'!O15</f>
        <v>Acquisition/Rehab</v>
      </c>
      <c r="P758" s="1406" t="str">
        <f>'Part VI-Revenues &amp; Expenses'!P15</f>
        <v>No</v>
      </c>
      <c r="Q758" s="1552">
        <f>'Part VI-Revenues &amp; Expenses'!Q15</f>
        <v>40000</v>
      </c>
      <c r="R758" s="1553">
        <f>'Part VI-Revenues &amp; Expenses'!R15</f>
        <v>0.78086871644704736</v>
      </c>
      <c r="S758" s="1552">
        <f>'Part VI-Revenues &amp; Expenses'!S15</f>
        <v>0</v>
      </c>
      <c r="T758" s="1553">
        <f>'Part VI-Revenues &amp; Expenses'!T15</f>
        <v>0</v>
      </c>
      <c r="U758" s="1477"/>
      <c r="V758" s="1477"/>
      <c r="W758" s="531" t="str">
        <f t="shared" si="3"/>
        <v/>
      </c>
      <c r="X758" s="531">
        <f t="shared" si="4"/>
        <v>52</v>
      </c>
      <c r="Y758" s="531" t="str">
        <f t="shared" si="5"/>
        <v/>
      </c>
      <c r="Z758" s="531" t="str">
        <f t="shared" si="6"/>
        <v/>
      </c>
      <c r="AA758" s="531" t="str">
        <f t="shared" si="7"/>
        <v/>
      </c>
      <c r="AB758" s="531" t="str">
        <f t="shared" si="8"/>
        <v/>
      </c>
      <c r="AC758" s="531" t="str">
        <f t="shared" si="9"/>
        <v/>
      </c>
      <c r="AD758" s="531" t="str">
        <f t="shared" si="10"/>
        <v/>
      </c>
      <c r="AE758" s="531" t="str">
        <f t="shared" si="11"/>
        <v/>
      </c>
      <c r="AF758" s="531" t="str">
        <f t="shared" si="12"/>
        <v/>
      </c>
      <c r="AG758" s="531" t="str">
        <f t="shared" si="13"/>
        <v/>
      </c>
      <c r="AH758" s="531" t="str">
        <f t="shared" si="14"/>
        <v/>
      </c>
      <c r="AI758" s="531" t="str">
        <f t="shared" si="15"/>
        <v/>
      </c>
      <c r="AJ758" s="531" t="str">
        <f t="shared" si="16"/>
        <v/>
      </c>
      <c r="AK758" s="531" t="str">
        <f t="shared" si="17"/>
        <v/>
      </c>
      <c r="AL758" s="531" t="str">
        <f t="shared" si="18"/>
        <v/>
      </c>
      <c r="AM758" s="531" t="str">
        <f t="shared" si="19"/>
        <v/>
      </c>
      <c r="AN758" s="531" t="str">
        <f t="shared" si="20"/>
        <v/>
      </c>
      <c r="AO758" s="531" t="str">
        <f t="shared" si="21"/>
        <v/>
      </c>
      <c r="AP758" s="531" t="str">
        <f t="shared" si="22"/>
        <v/>
      </c>
      <c r="AQ758" s="531" t="str">
        <f t="shared" si="23"/>
        <v/>
      </c>
      <c r="AR758" s="531" t="str">
        <f t="shared" si="24"/>
        <v/>
      </c>
      <c r="AS758" s="531" t="str">
        <f t="shared" si="25"/>
        <v/>
      </c>
      <c r="AT758" s="531" t="str">
        <f t="shared" si="26"/>
        <v/>
      </c>
      <c r="AU758" s="531" t="str">
        <f t="shared" si="27"/>
        <v/>
      </c>
      <c r="AV758" s="531" t="str">
        <f t="shared" si="28"/>
        <v/>
      </c>
      <c r="AW758" s="531" t="str">
        <f t="shared" si="29"/>
        <v/>
      </c>
      <c r="AX758" s="531" t="str">
        <f t="shared" si="30"/>
        <v/>
      </c>
      <c r="AY758" s="531" t="str">
        <f t="shared" si="31"/>
        <v/>
      </c>
      <c r="AZ758" s="531" t="str">
        <f t="shared" si="32"/>
        <v/>
      </c>
      <c r="BA758" s="531" t="str">
        <f t="shared" si="33"/>
        <v/>
      </c>
      <c r="BB758" s="531">
        <f t="shared" si="34"/>
        <v>52</v>
      </c>
      <c r="BC758" s="531" t="str">
        <f t="shared" si="35"/>
        <v/>
      </c>
      <c r="BD758" s="531" t="str">
        <f t="shared" si="36"/>
        <v/>
      </c>
      <c r="BE758" s="531" t="str">
        <f t="shared" si="37"/>
        <v/>
      </c>
      <c r="BF758" s="531" t="str">
        <f t="shared" si="38"/>
        <v/>
      </c>
      <c r="BG758" s="531" t="str">
        <f t="shared" si="39"/>
        <v/>
      </c>
      <c r="BH758" s="531" t="str">
        <f t="shared" si="40"/>
        <v/>
      </c>
      <c r="BI758" s="531" t="str">
        <f t="shared" si="41"/>
        <v/>
      </c>
      <c r="BJ758" s="531" t="str">
        <f t="shared" si="42"/>
        <v/>
      </c>
      <c r="BK758" s="531" t="str">
        <f t="shared" si="43"/>
        <v/>
      </c>
      <c r="BL758" s="531" t="str">
        <f t="shared" si="44"/>
        <v/>
      </c>
      <c r="BM758" s="531" t="str">
        <f t="shared" si="45"/>
        <v/>
      </c>
      <c r="BN758" s="531" t="str">
        <f t="shared" si="46"/>
        <v/>
      </c>
      <c r="BO758" s="531" t="str">
        <f t="shared" si="47"/>
        <v/>
      </c>
      <c r="BP758" s="531" t="str">
        <f t="shared" si="48"/>
        <v/>
      </c>
      <c r="BQ758" s="531" t="str">
        <f t="shared" si="49"/>
        <v/>
      </c>
      <c r="BR758" s="531" t="str">
        <f t="shared" si="50"/>
        <v/>
      </c>
      <c r="BS758" s="531" t="str">
        <f t="shared" si="51"/>
        <v/>
      </c>
      <c r="BT758" s="531" t="str">
        <f t="shared" si="52"/>
        <v/>
      </c>
      <c r="BU758" s="531" t="str">
        <f t="shared" si="53"/>
        <v/>
      </c>
      <c r="BV758" s="531" t="str">
        <f t="shared" si="54"/>
        <v/>
      </c>
      <c r="BW758" s="531" t="str">
        <f t="shared" si="55"/>
        <v/>
      </c>
      <c r="BX758" s="531" t="str">
        <f t="shared" si="56"/>
        <v/>
      </c>
      <c r="BY758" s="531" t="str">
        <f t="shared" si="57"/>
        <v/>
      </c>
      <c r="BZ758" s="531" t="str">
        <f t="shared" si="58"/>
        <v/>
      </c>
      <c r="CA758" s="531">
        <f t="shared" si="59"/>
        <v>30992</v>
      </c>
      <c r="CB758" s="531" t="str">
        <f t="shared" si="60"/>
        <v/>
      </c>
      <c r="CC758" s="531" t="str">
        <f t="shared" si="61"/>
        <v/>
      </c>
      <c r="CD758" s="531" t="str">
        <f t="shared" si="62"/>
        <v/>
      </c>
      <c r="CE758" s="531" t="str">
        <f t="shared" si="63"/>
        <v/>
      </c>
      <c r="CF758" s="531" t="str">
        <f t="shared" si="64"/>
        <v/>
      </c>
      <c r="CG758" s="531" t="str">
        <f t="shared" si="65"/>
        <v/>
      </c>
      <c r="CH758" s="531" t="str">
        <f t="shared" si="66"/>
        <v/>
      </c>
      <c r="CI758" s="531" t="str">
        <f t="shared" si="67"/>
        <v/>
      </c>
      <c r="CJ758" s="531" t="str">
        <f t="shared" si="68"/>
        <v/>
      </c>
      <c r="CK758" s="531" t="str">
        <f t="shared" si="69"/>
        <v/>
      </c>
      <c r="CL758" s="531" t="str">
        <f t="shared" si="70"/>
        <v/>
      </c>
      <c r="CM758" s="531" t="str">
        <f t="shared" si="71"/>
        <v/>
      </c>
      <c r="CN758" s="531" t="str">
        <f t="shared" si="72"/>
        <v/>
      </c>
      <c r="CO758" s="531" t="str">
        <f t="shared" si="73"/>
        <v/>
      </c>
      <c r="CP758" s="531" t="str">
        <f t="shared" si="74"/>
        <v/>
      </c>
      <c r="CQ758" s="531" t="str">
        <f t="shared" si="75"/>
        <v/>
      </c>
      <c r="CR758" s="531" t="str">
        <f t="shared" si="76"/>
        <v/>
      </c>
      <c r="CS758" s="531" t="str">
        <f t="shared" si="77"/>
        <v/>
      </c>
      <c r="CT758" s="531" t="str">
        <f t="shared" si="78"/>
        <v/>
      </c>
      <c r="CU758" s="531">
        <f t="shared" si="79"/>
        <v>30992</v>
      </c>
      <c r="CV758" s="531" t="str">
        <f t="shared" si="80"/>
        <v/>
      </c>
      <c r="CW758" s="531" t="str">
        <f t="shared" si="81"/>
        <v/>
      </c>
      <c r="CX758" s="531" t="str">
        <f t="shared" si="82"/>
        <v/>
      </c>
      <c r="CY758" s="531" t="str">
        <f t="shared" si="83"/>
        <v/>
      </c>
      <c r="CZ758" s="531" t="str">
        <f t="shared" si="84"/>
        <v/>
      </c>
      <c r="DA758" s="531" t="str">
        <f t="shared" si="85"/>
        <v/>
      </c>
      <c r="DB758" s="531" t="str">
        <f t="shared" si="86"/>
        <v/>
      </c>
      <c r="DC758" s="531" t="str">
        <f t="shared" si="87"/>
        <v/>
      </c>
      <c r="DD758" s="531" t="str">
        <f t="shared" si="88"/>
        <v/>
      </c>
      <c r="DE758" s="531" t="str">
        <f t="shared" si="89"/>
        <v/>
      </c>
      <c r="DF758" s="531" t="str">
        <f t="shared" si="90"/>
        <v/>
      </c>
      <c r="DG758" s="531" t="str">
        <f t="shared" si="91"/>
        <v/>
      </c>
      <c r="DH758" s="531" t="str">
        <f t="shared" si="92"/>
        <v/>
      </c>
      <c r="DI758" s="531" t="str">
        <f t="shared" si="93"/>
        <v/>
      </c>
      <c r="DJ758" s="531" t="str">
        <f t="shared" si="94"/>
        <v/>
      </c>
      <c r="DK758" s="531" t="str">
        <f t="shared" si="95"/>
        <v/>
      </c>
      <c r="DL758" s="531" t="str">
        <f t="shared" si="96"/>
        <v/>
      </c>
      <c r="DM758" s="531" t="str">
        <f t="shared" si="97"/>
        <v/>
      </c>
      <c r="DN758" s="531" t="str">
        <f t="shared" si="98"/>
        <v/>
      </c>
      <c r="DO758" s="531" t="str">
        <f t="shared" si="99"/>
        <v/>
      </c>
      <c r="DP758" s="531" t="str">
        <f t="shared" si="100"/>
        <v/>
      </c>
      <c r="DQ758" s="531" t="str">
        <f t="shared" si="101"/>
        <v/>
      </c>
      <c r="DR758" s="531" t="str">
        <f t="shared" si="102"/>
        <v/>
      </c>
      <c r="DS758" s="531" t="str">
        <f t="shared" si="103"/>
        <v/>
      </c>
      <c r="DT758" s="531">
        <f t="shared" si="104"/>
        <v>52</v>
      </c>
      <c r="DU758" s="531" t="str">
        <f t="shared" si="105"/>
        <v/>
      </c>
      <c r="DV758" s="531" t="str">
        <f t="shared" si="106"/>
        <v/>
      </c>
      <c r="DW758" s="531" t="str">
        <f t="shared" si="107"/>
        <v/>
      </c>
      <c r="DX758" s="531" t="str">
        <f t="shared" si="108"/>
        <v/>
      </c>
      <c r="DY758" s="531" t="str">
        <f t="shared" si="109"/>
        <v/>
      </c>
      <c r="DZ758" s="531" t="str">
        <f t="shared" si="110"/>
        <v/>
      </c>
      <c r="EA758" s="531" t="str">
        <f t="shared" si="111"/>
        <v/>
      </c>
      <c r="EB758" s="531" t="str">
        <f t="shared" si="112"/>
        <v/>
      </c>
      <c r="EC758" s="531" t="str">
        <f t="shared" si="113"/>
        <v/>
      </c>
      <c r="ED758" s="531" t="str">
        <f t="shared" si="114"/>
        <v/>
      </c>
      <c r="EE758" s="531" t="str">
        <f t="shared" si="115"/>
        <v/>
      </c>
      <c r="EF758" s="531" t="str">
        <f t="shared" si="116"/>
        <v/>
      </c>
      <c r="EG758" s="531" t="str">
        <f t="shared" si="117"/>
        <v/>
      </c>
      <c r="EH758" s="531" t="str">
        <f t="shared" si="118"/>
        <v/>
      </c>
      <c r="EI758" s="531" t="str">
        <f t="shared" si="119"/>
        <v/>
      </c>
      <c r="EJ758" s="531" t="str">
        <f t="shared" si="120"/>
        <v/>
      </c>
      <c r="EK758" s="531" t="str">
        <f t="shared" si="121"/>
        <v/>
      </c>
      <c r="EL758" s="531" t="str">
        <f t="shared" si="122"/>
        <v/>
      </c>
      <c r="EM758" s="531" t="str">
        <f t="shared" si="123"/>
        <v/>
      </c>
      <c r="EN758" s="531" t="str">
        <f t="shared" si="124"/>
        <v/>
      </c>
      <c r="EO758" s="531" t="str">
        <f t="shared" si="125"/>
        <v/>
      </c>
      <c r="EP758" s="531" t="str">
        <f t="shared" si="126"/>
        <v/>
      </c>
      <c r="EQ758" s="531" t="str">
        <f t="shared" si="127"/>
        <v/>
      </c>
      <c r="ER758" s="531" t="str">
        <f t="shared" si="128"/>
        <v/>
      </c>
      <c r="ES758" s="531" t="str">
        <f t="shared" si="129"/>
        <v/>
      </c>
      <c r="ET758" s="531" t="str">
        <f t="shared" si="130"/>
        <v/>
      </c>
      <c r="EU758" s="531" t="str">
        <f t="shared" si="131"/>
        <v/>
      </c>
      <c r="EV758" s="531" t="str">
        <f t="shared" si="132"/>
        <v/>
      </c>
      <c r="EW758" s="1554" t="str">
        <f t="shared" si="133"/>
        <v/>
      </c>
      <c r="EX758" s="1554">
        <f t="shared" si="134"/>
        <v>52</v>
      </c>
      <c r="EY758" s="1554" t="str">
        <f t="shared" si="135"/>
        <v/>
      </c>
      <c r="EZ758" s="1554" t="str">
        <f t="shared" si="136"/>
        <v/>
      </c>
      <c r="FA758" s="1554" t="str">
        <f t="shared" si="137"/>
        <v/>
      </c>
      <c r="FB758" s="1554" t="str">
        <f t="shared" si="138"/>
        <v/>
      </c>
      <c r="FC758" s="1554" t="str">
        <f t="shared" si="139"/>
        <v/>
      </c>
      <c r="FD758" s="1554" t="str">
        <f t="shared" si="140"/>
        <v/>
      </c>
      <c r="FE758" s="1554" t="str">
        <f t="shared" si="141"/>
        <v/>
      </c>
      <c r="FF758" s="1554" t="str">
        <f t="shared" si="142"/>
        <v/>
      </c>
      <c r="FG758" s="1554" t="str">
        <f t="shared" si="143"/>
        <v/>
      </c>
      <c r="FH758" s="1554" t="str">
        <f t="shared" si="144"/>
        <v/>
      </c>
      <c r="FI758" s="1554" t="str">
        <f t="shared" si="145"/>
        <v/>
      </c>
      <c r="FJ758" s="1554" t="str">
        <f t="shared" si="146"/>
        <v/>
      </c>
      <c r="FK758" s="1554" t="str">
        <f t="shared" si="147"/>
        <v/>
      </c>
      <c r="FL758" s="1554" t="str">
        <f t="shared" si="148"/>
        <v/>
      </c>
      <c r="FM758" s="1554" t="str">
        <f t="shared" si="149"/>
        <v/>
      </c>
      <c r="FN758" s="1554" t="str">
        <f t="shared" si="150"/>
        <v/>
      </c>
      <c r="FO758" s="1554" t="str">
        <f t="shared" si="151"/>
        <v/>
      </c>
      <c r="FP758" s="1554" t="str">
        <f t="shared" si="152"/>
        <v/>
      </c>
      <c r="FQ758" s="1554" t="str">
        <f t="shared" si="153"/>
        <v/>
      </c>
      <c r="FR758" s="1554" t="str">
        <f t="shared" si="154"/>
        <v/>
      </c>
      <c r="FS758" s="1554" t="str">
        <f t="shared" si="155"/>
        <v/>
      </c>
      <c r="FT758" s="1554" t="str">
        <f t="shared" si="156"/>
        <v/>
      </c>
      <c r="FU758" s="1554" t="str">
        <f t="shared" si="157"/>
        <v/>
      </c>
      <c r="FV758" s="1554" t="str">
        <f t="shared" si="158"/>
        <v/>
      </c>
      <c r="FW758" s="1554" t="str">
        <f t="shared" si="159"/>
        <v/>
      </c>
      <c r="FX758" s="1554" t="str">
        <f t="shared" si="160"/>
        <v/>
      </c>
      <c r="FY758" s="1554" t="str">
        <f t="shared" si="161"/>
        <v/>
      </c>
      <c r="FZ758" s="1554" t="str">
        <f t="shared" si="162"/>
        <v/>
      </c>
      <c r="GA758" s="1554" t="str">
        <f t="shared" si="163"/>
        <v/>
      </c>
      <c r="GB758" s="1554" t="str">
        <f t="shared" si="164"/>
        <v/>
      </c>
      <c r="GC758" s="1554" t="str">
        <f t="shared" si="165"/>
        <v/>
      </c>
      <c r="GD758" s="1554" t="str">
        <f t="shared" si="166"/>
        <v/>
      </c>
      <c r="GE758" s="1554" t="str">
        <f t="shared" si="167"/>
        <v/>
      </c>
      <c r="GF758" s="1554" t="str">
        <f t="shared" si="168"/>
        <v/>
      </c>
      <c r="GG758" s="1554" t="str">
        <f t="shared" si="169"/>
        <v/>
      </c>
      <c r="GH758" s="1554" t="str">
        <f t="shared" si="170"/>
        <v/>
      </c>
      <c r="GI758" s="1554" t="str">
        <f t="shared" si="171"/>
        <v/>
      </c>
      <c r="GJ758" s="1554" t="str">
        <f t="shared" si="172"/>
        <v/>
      </c>
      <c r="GK758" s="1554" t="str">
        <f t="shared" si="173"/>
        <v/>
      </c>
      <c r="GL758" s="1554" t="str">
        <f t="shared" si="174"/>
        <v/>
      </c>
      <c r="GM758" s="1554" t="str">
        <f t="shared" si="175"/>
        <v/>
      </c>
      <c r="GN758" s="1554" t="str">
        <f t="shared" si="176"/>
        <v/>
      </c>
      <c r="GO758" s="1554" t="str">
        <f t="shared" si="177"/>
        <v/>
      </c>
      <c r="GP758" s="1554" t="str">
        <f t="shared" si="178"/>
        <v/>
      </c>
      <c r="GQ758" s="1554" t="str">
        <f t="shared" si="179"/>
        <v/>
      </c>
      <c r="GR758" s="1554" t="str">
        <f t="shared" si="180"/>
        <v/>
      </c>
      <c r="GS758" s="1554" t="str">
        <f t="shared" si="181"/>
        <v/>
      </c>
      <c r="GT758" s="1554" t="str">
        <f t="shared" si="182"/>
        <v/>
      </c>
      <c r="GU758" s="1554" t="str">
        <f t="shared" si="183"/>
        <v/>
      </c>
      <c r="GV758" s="1554" t="str">
        <f t="shared" si="184"/>
        <v/>
      </c>
      <c r="GW758" s="1554" t="str">
        <f t="shared" si="185"/>
        <v/>
      </c>
      <c r="GX758" s="1554" t="str">
        <f t="shared" si="186"/>
        <v/>
      </c>
      <c r="GY758" s="1554" t="str">
        <f t="shared" si="187"/>
        <v/>
      </c>
      <c r="GZ758" s="1554" t="str">
        <f t="shared" si="188"/>
        <v/>
      </c>
      <c r="HA758" s="1554" t="str">
        <f t="shared" si="189"/>
        <v/>
      </c>
      <c r="HB758" s="1554" t="str">
        <f t="shared" si="190"/>
        <v/>
      </c>
      <c r="HC758" s="1554" t="str">
        <f t="shared" si="191"/>
        <v/>
      </c>
      <c r="HD758" s="1554" t="str">
        <f t="shared" si="192"/>
        <v/>
      </c>
      <c r="HE758" s="1554" t="str">
        <f t="shared" si="193"/>
        <v/>
      </c>
      <c r="HF758" s="1554" t="str">
        <f t="shared" si="194"/>
        <v/>
      </c>
      <c r="HG758" s="1554" t="str">
        <f t="shared" si="195"/>
        <v/>
      </c>
      <c r="HH758" s="1554" t="str">
        <f t="shared" si="196"/>
        <v/>
      </c>
      <c r="HI758" s="1554" t="str">
        <f t="shared" si="197"/>
        <v/>
      </c>
      <c r="HJ758" s="1554" t="str">
        <f t="shared" si="198"/>
        <v/>
      </c>
      <c r="HK758" s="1554" t="str">
        <f t="shared" si="199"/>
        <v/>
      </c>
      <c r="HL758" s="1554" t="str">
        <f t="shared" si="200"/>
        <v/>
      </c>
      <c r="HM758" s="1554" t="str">
        <f t="shared" si="201"/>
        <v/>
      </c>
      <c r="HN758" s="1554" t="str">
        <f t="shared" si="202"/>
        <v/>
      </c>
      <c r="HO758" s="1554" t="str">
        <f t="shared" si="203"/>
        <v/>
      </c>
      <c r="HP758" s="1554" t="str">
        <f t="shared" si="204"/>
        <v/>
      </c>
      <c r="HQ758" s="1554" t="str">
        <f t="shared" si="205"/>
        <v/>
      </c>
      <c r="HR758" s="1554" t="str">
        <f t="shared" si="206"/>
        <v/>
      </c>
      <c r="HS758" s="1554" t="str">
        <f t="shared" si="207"/>
        <v/>
      </c>
      <c r="HT758" s="1554" t="str">
        <f t="shared" si="208"/>
        <v/>
      </c>
      <c r="HU758" s="1554">
        <f t="shared" si="209"/>
        <v>52</v>
      </c>
      <c r="HV758" s="1554" t="str">
        <f t="shared" si="210"/>
        <v/>
      </c>
      <c r="HW758" s="1554" t="str">
        <f t="shared" si="211"/>
        <v/>
      </c>
      <c r="HX758" s="1554" t="str">
        <f t="shared" si="212"/>
        <v/>
      </c>
      <c r="HY758" s="1554" t="str">
        <f t="shared" si="213"/>
        <v/>
      </c>
      <c r="HZ758" s="1554" t="str">
        <f t="shared" si="214"/>
        <v/>
      </c>
      <c r="IA758" s="1554" t="str">
        <f t="shared" si="215"/>
        <v/>
      </c>
      <c r="IB758" s="1554" t="str">
        <f t="shared" si="216"/>
        <v/>
      </c>
      <c r="IC758" s="1554" t="str">
        <f t="shared" si="217"/>
        <v/>
      </c>
      <c r="ID758" s="31" t="str">
        <f t="shared" si="218"/>
        <v/>
      </c>
      <c r="IE758" s="31" t="str">
        <f t="shared" si="219"/>
        <v/>
      </c>
      <c r="IF758" s="31" t="str">
        <f t="shared" si="220"/>
        <v/>
      </c>
      <c r="IG758" s="31" t="str">
        <f t="shared" si="221"/>
        <v/>
      </c>
      <c r="IH758" s="31" t="str">
        <f t="shared" si="222"/>
        <v/>
      </c>
      <c r="II758" s="531" t="str">
        <f t="shared" si="223"/>
        <v/>
      </c>
      <c r="IJ758" s="531" t="str">
        <f t="shared" si="224"/>
        <v/>
      </c>
      <c r="IK758" s="531" t="str">
        <f t="shared" si="225"/>
        <v/>
      </c>
      <c r="IL758" s="531" t="str">
        <f t="shared" si="226"/>
        <v/>
      </c>
      <c r="IM758" s="531" t="str">
        <f t="shared" si="227"/>
        <v/>
      </c>
      <c r="IN758" s="531" t="str">
        <f t="shared" si="228"/>
        <v/>
      </c>
      <c r="IO758" s="531" t="str">
        <f t="shared" si="229"/>
        <v/>
      </c>
      <c r="IP758" s="531" t="str">
        <f t="shared" si="230"/>
        <v/>
      </c>
      <c r="IQ758" s="531" t="str">
        <f t="shared" si="231"/>
        <v/>
      </c>
      <c r="IR758" s="531" t="str">
        <f t="shared" si="232"/>
        <v/>
      </c>
      <c r="IS758" s="531" t="str">
        <f t="shared" si="233"/>
        <v/>
      </c>
      <c r="IT758" s="531" t="str">
        <f t="shared" si="234"/>
        <v/>
      </c>
      <c r="IU758" s="531" t="str">
        <f t="shared" si="235"/>
        <v/>
      </c>
      <c r="IV758" s="531" t="str">
        <f t="shared" si="236"/>
        <v/>
      </c>
      <c r="IW758" s="531" t="str">
        <f t="shared" si="237"/>
        <v/>
      </c>
      <c r="IX758" s="531" t="str">
        <f t="shared" si="238"/>
        <v/>
      </c>
      <c r="IY758" s="531" t="str">
        <f t="shared" si="239"/>
        <v/>
      </c>
      <c r="IZ758" s="531" t="str">
        <f t="shared" si="240"/>
        <v/>
      </c>
      <c r="JA758" s="531" t="str">
        <f t="shared" si="241"/>
        <v/>
      </c>
      <c r="JB758" s="531" t="str">
        <f t="shared" si="242"/>
        <v/>
      </c>
      <c r="JC758" s="615">
        <f t="shared" si="243"/>
        <v>0</v>
      </c>
      <c r="JD758" s="615">
        <f t="shared" si="244"/>
        <v>52</v>
      </c>
      <c r="JE758" s="615">
        <f t="shared" si="245"/>
        <v>0</v>
      </c>
      <c r="JF758" s="615">
        <f t="shared" si="246"/>
        <v>0</v>
      </c>
      <c r="JG758" s="615">
        <f t="shared" si="247"/>
        <v>0</v>
      </c>
      <c r="JH758" s="615">
        <f t="shared" si="248"/>
        <v>0</v>
      </c>
      <c r="JI758" s="615">
        <f t="shared" si="249"/>
        <v>0</v>
      </c>
      <c r="JJ758" s="615">
        <f t="shared" si="250"/>
        <v>0</v>
      </c>
      <c r="JK758" s="615">
        <f t="shared" si="251"/>
        <v>0</v>
      </c>
      <c r="JL758" s="615">
        <f t="shared" si="252"/>
        <v>0</v>
      </c>
      <c r="JM758" s="615">
        <f t="shared" si="253"/>
        <v>0</v>
      </c>
      <c r="JN758" s="615">
        <f t="shared" si="254"/>
        <v>0</v>
      </c>
      <c r="JO758" s="615">
        <f t="shared" si="255"/>
        <v>0</v>
      </c>
      <c r="JP758" s="615">
        <f t="shared" si="256"/>
        <v>0</v>
      </c>
      <c r="JQ758" s="615">
        <f t="shared" si="257"/>
        <v>0</v>
      </c>
    </row>
    <row r="759" spans="1:277" ht="12" customHeight="1">
      <c r="A759" s="1190" t="str">
        <f t="shared" si="0"/>
        <v/>
      </c>
      <c r="B759" s="1545" t="str">
        <f>'Part VI-Revenues &amp; Expenses'!B16</f>
        <v>&lt;&lt;Select&gt;&gt;</v>
      </c>
      <c r="C759" s="1546">
        <f>'Part VI-Revenues &amp; Expenses'!C16</f>
        <v>0</v>
      </c>
      <c r="D759" s="1547">
        <f>'Part VI-Revenues &amp; Expenses'!D16</f>
        <v>0</v>
      </c>
      <c r="E759" s="1548">
        <f>'Part VI-Revenues &amp; Expenses'!E16</f>
        <v>0</v>
      </c>
      <c r="F759" s="1548">
        <f>'Part VI-Revenues &amp; Expenses'!F16</f>
        <v>0</v>
      </c>
      <c r="G759" s="1548">
        <f>'Part VI-Revenues &amp; Expenses'!G16</f>
        <v>0</v>
      </c>
      <c r="H759" s="1548">
        <f>'Part VI-Revenues &amp; Expenses'!H16</f>
        <v>0</v>
      </c>
      <c r="I759" s="1548">
        <f>'Part VI-Revenues &amp; Expenses'!I16</f>
        <v>0</v>
      </c>
      <c r="J759" s="1549">
        <f>'Part VI-Revenues &amp; Expenses'!J16</f>
        <v>0</v>
      </c>
      <c r="K759" s="1550">
        <f t="shared" si="1"/>
        <v>0</v>
      </c>
      <c r="L759" s="1550">
        <f t="shared" si="2"/>
        <v>0</v>
      </c>
      <c r="M759" s="1551">
        <f>'Part VI-Revenues &amp; Expenses'!M16</f>
        <v>0</v>
      </c>
      <c r="N759" s="1551">
        <f>'Part VI-Revenues &amp; Expenses'!N16</f>
        <v>0</v>
      </c>
      <c r="O759" s="1551">
        <f>'Part VI-Revenues &amp; Expenses'!O16</f>
        <v>0</v>
      </c>
      <c r="P759" s="1406">
        <f>'Part VI-Revenues &amp; Expenses'!P16</f>
        <v>0</v>
      </c>
      <c r="Q759" s="1552" t="str">
        <f>'Part VI-Revenues &amp; Expenses'!Q16</f>
        <v/>
      </c>
      <c r="R759" s="1553" t="str">
        <f>'Part VI-Revenues &amp; Expenses'!R16</f>
        <v/>
      </c>
      <c r="S759" s="1552">
        <f>'Part VI-Revenues &amp; Expenses'!S16</f>
        <v>0</v>
      </c>
      <c r="T759" s="1553">
        <f>'Part VI-Revenues &amp; Expenses'!T16</f>
        <v>0</v>
      </c>
      <c r="U759" s="1477"/>
      <c r="V759" s="1477"/>
      <c r="W759" s="531" t="str">
        <f t="shared" si="3"/>
        <v/>
      </c>
      <c r="X759" s="531" t="str">
        <f t="shared" si="4"/>
        <v/>
      </c>
      <c r="Y759" s="531" t="str">
        <f t="shared" si="5"/>
        <v/>
      </c>
      <c r="Z759" s="531" t="str">
        <f t="shared" si="6"/>
        <v/>
      </c>
      <c r="AA759" s="531" t="str">
        <f t="shared" si="7"/>
        <v/>
      </c>
      <c r="AB759" s="531" t="str">
        <f t="shared" si="8"/>
        <v/>
      </c>
      <c r="AC759" s="531" t="str">
        <f t="shared" si="9"/>
        <v/>
      </c>
      <c r="AD759" s="531" t="str">
        <f t="shared" si="10"/>
        <v/>
      </c>
      <c r="AE759" s="531" t="str">
        <f t="shared" si="11"/>
        <v/>
      </c>
      <c r="AF759" s="531" t="str">
        <f t="shared" si="12"/>
        <v/>
      </c>
      <c r="AG759" s="531" t="str">
        <f t="shared" si="13"/>
        <v/>
      </c>
      <c r="AH759" s="531" t="str">
        <f t="shared" si="14"/>
        <v/>
      </c>
      <c r="AI759" s="531" t="str">
        <f t="shared" si="15"/>
        <v/>
      </c>
      <c r="AJ759" s="531" t="str">
        <f t="shared" si="16"/>
        <v/>
      </c>
      <c r="AK759" s="531" t="str">
        <f t="shared" si="17"/>
        <v/>
      </c>
      <c r="AL759" s="531" t="str">
        <f t="shared" si="18"/>
        <v/>
      </c>
      <c r="AM759" s="531" t="str">
        <f t="shared" si="19"/>
        <v/>
      </c>
      <c r="AN759" s="531" t="str">
        <f t="shared" si="20"/>
        <v/>
      </c>
      <c r="AO759" s="531" t="str">
        <f t="shared" si="21"/>
        <v/>
      </c>
      <c r="AP759" s="531" t="str">
        <f t="shared" si="22"/>
        <v/>
      </c>
      <c r="AQ759" s="531" t="str">
        <f t="shared" si="23"/>
        <v/>
      </c>
      <c r="AR759" s="531" t="str">
        <f t="shared" si="24"/>
        <v/>
      </c>
      <c r="AS759" s="531" t="str">
        <f t="shared" si="25"/>
        <v/>
      </c>
      <c r="AT759" s="531" t="str">
        <f t="shared" si="26"/>
        <v/>
      </c>
      <c r="AU759" s="531" t="str">
        <f t="shared" si="27"/>
        <v/>
      </c>
      <c r="AV759" s="531" t="str">
        <f t="shared" si="28"/>
        <v/>
      </c>
      <c r="AW759" s="531" t="str">
        <f t="shared" si="29"/>
        <v/>
      </c>
      <c r="AX759" s="531" t="str">
        <f t="shared" si="30"/>
        <v/>
      </c>
      <c r="AY759" s="531" t="str">
        <f t="shared" si="31"/>
        <v/>
      </c>
      <c r="AZ759" s="531" t="str">
        <f t="shared" si="32"/>
        <v/>
      </c>
      <c r="BA759" s="531" t="str">
        <f t="shared" si="33"/>
        <v/>
      </c>
      <c r="BB759" s="531" t="str">
        <f t="shared" si="34"/>
        <v/>
      </c>
      <c r="BC759" s="531" t="str">
        <f t="shared" si="35"/>
        <v/>
      </c>
      <c r="BD759" s="531" t="str">
        <f t="shared" si="36"/>
        <v/>
      </c>
      <c r="BE759" s="531" t="str">
        <f t="shared" si="37"/>
        <v/>
      </c>
      <c r="BF759" s="531" t="str">
        <f t="shared" si="38"/>
        <v/>
      </c>
      <c r="BG759" s="531" t="str">
        <f t="shared" si="39"/>
        <v/>
      </c>
      <c r="BH759" s="531" t="str">
        <f t="shared" si="40"/>
        <v/>
      </c>
      <c r="BI759" s="531" t="str">
        <f t="shared" si="41"/>
        <v/>
      </c>
      <c r="BJ759" s="531" t="str">
        <f t="shared" si="42"/>
        <v/>
      </c>
      <c r="BK759" s="531" t="str">
        <f t="shared" si="43"/>
        <v/>
      </c>
      <c r="BL759" s="531" t="str">
        <f t="shared" si="44"/>
        <v/>
      </c>
      <c r="BM759" s="531" t="str">
        <f t="shared" si="45"/>
        <v/>
      </c>
      <c r="BN759" s="531" t="str">
        <f t="shared" si="46"/>
        <v/>
      </c>
      <c r="BO759" s="531" t="str">
        <f t="shared" si="47"/>
        <v/>
      </c>
      <c r="BP759" s="531" t="str">
        <f t="shared" si="48"/>
        <v/>
      </c>
      <c r="BQ759" s="531" t="str">
        <f t="shared" si="49"/>
        <v/>
      </c>
      <c r="BR759" s="531" t="str">
        <f t="shared" si="50"/>
        <v/>
      </c>
      <c r="BS759" s="531" t="str">
        <f t="shared" si="51"/>
        <v/>
      </c>
      <c r="BT759" s="531" t="str">
        <f t="shared" si="52"/>
        <v/>
      </c>
      <c r="BU759" s="531" t="str">
        <f t="shared" si="53"/>
        <v/>
      </c>
      <c r="BV759" s="531" t="str">
        <f t="shared" si="54"/>
        <v/>
      </c>
      <c r="BW759" s="531" t="str">
        <f t="shared" si="55"/>
        <v/>
      </c>
      <c r="BX759" s="531" t="str">
        <f t="shared" si="56"/>
        <v/>
      </c>
      <c r="BY759" s="531" t="str">
        <f t="shared" si="57"/>
        <v/>
      </c>
      <c r="BZ759" s="531" t="str">
        <f t="shared" si="58"/>
        <v/>
      </c>
      <c r="CA759" s="531" t="str">
        <f t="shared" si="59"/>
        <v/>
      </c>
      <c r="CB759" s="531" t="str">
        <f t="shared" si="60"/>
        <v/>
      </c>
      <c r="CC759" s="531" t="str">
        <f t="shared" si="61"/>
        <v/>
      </c>
      <c r="CD759" s="531" t="str">
        <f t="shared" si="62"/>
        <v/>
      </c>
      <c r="CE759" s="531" t="str">
        <f t="shared" si="63"/>
        <v/>
      </c>
      <c r="CF759" s="531" t="str">
        <f t="shared" si="64"/>
        <v/>
      </c>
      <c r="CG759" s="531" t="str">
        <f t="shared" si="65"/>
        <v/>
      </c>
      <c r="CH759" s="531" t="str">
        <f t="shared" si="66"/>
        <v/>
      </c>
      <c r="CI759" s="531" t="str">
        <f t="shared" si="67"/>
        <v/>
      </c>
      <c r="CJ759" s="531" t="str">
        <f t="shared" si="68"/>
        <v/>
      </c>
      <c r="CK759" s="531" t="str">
        <f t="shared" si="69"/>
        <v/>
      </c>
      <c r="CL759" s="531" t="str">
        <f t="shared" si="70"/>
        <v/>
      </c>
      <c r="CM759" s="531" t="str">
        <f t="shared" si="71"/>
        <v/>
      </c>
      <c r="CN759" s="531" t="str">
        <f t="shared" si="72"/>
        <v/>
      </c>
      <c r="CO759" s="531" t="str">
        <f t="shared" si="73"/>
        <v/>
      </c>
      <c r="CP759" s="531" t="str">
        <f t="shared" si="74"/>
        <v/>
      </c>
      <c r="CQ759" s="531" t="str">
        <f t="shared" si="75"/>
        <v/>
      </c>
      <c r="CR759" s="531" t="str">
        <f t="shared" si="76"/>
        <v/>
      </c>
      <c r="CS759" s="531" t="str">
        <f t="shared" si="77"/>
        <v/>
      </c>
      <c r="CT759" s="531" t="str">
        <f t="shared" si="78"/>
        <v/>
      </c>
      <c r="CU759" s="531" t="str">
        <f t="shared" si="79"/>
        <v/>
      </c>
      <c r="CV759" s="531" t="str">
        <f t="shared" si="80"/>
        <v/>
      </c>
      <c r="CW759" s="531" t="str">
        <f t="shared" si="81"/>
        <v/>
      </c>
      <c r="CX759" s="531" t="str">
        <f t="shared" si="82"/>
        <v/>
      </c>
      <c r="CY759" s="531" t="str">
        <f t="shared" si="83"/>
        <v/>
      </c>
      <c r="CZ759" s="531" t="str">
        <f t="shared" si="84"/>
        <v/>
      </c>
      <c r="DA759" s="531" t="str">
        <f t="shared" si="85"/>
        <v/>
      </c>
      <c r="DB759" s="531" t="str">
        <f t="shared" si="86"/>
        <v/>
      </c>
      <c r="DC759" s="531" t="str">
        <f t="shared" si="87"/>
        <v/>
      </c>
      <c r="DD759" s="531" t="str">
        <f t="shared" si="88"/>
        <v/>
      </c>
      <c r="DE759" s="531" t="str">
        <f t="shared" si="89"/>
        <v/>
      </c>
      <c r="DF759" s="531" t="str">
        <f t="shared" si="90"/>
        <v/>
      </c>
      <c r="DG759" s="531" t="str">
        <f t="shared" si="91"/>
        <v/>
      </c>
      <c r="DH759" s="531" t="str">
        <f t="shared" si="92"/>
        <v/>
      </c>
      <c r="DI759" s="531" t="str">
        <f t="shared" si="93"/>
        <v/>
      </c>
      <c r="DJ759" s="531" t="str">
        <f t="shared" si="94"/>
        <v/>
      </c>
      <c r="DK759" s="531" t="str">
        <f t="shared" si="95"/>
        <v/>
      </c>
      <c r="DL759" s="531" t="str">
        <f t="shared" si="96"/>
        <v/>
      </c>
      <c r="DM759" s="531" t="str">
        <f t="shared" si="97"/>
        <v/>
      </c>
      <c r="DN759" s="531" t="str">
        <f t="shared" si="98"/>
        <v/>
      </c>
      <c r="DO759" s="531" t="str">
        <f t="shared" si="99"/>
        <v/>
      </c>
      <c r="DP759" s="531" t="str">
        <f t="shared" si="100"/>
        <v/>
      </c>
      <c r="DQ759" s="531" t="str">
        <f t="shared" si="101"/>
        <v/>
      </c>
      <c r="DR759" s="531" t="str">
        <f t="shared" si="102"/>
        <v/>
      </c>
      <c r="DS759" s="531" t="str">
        <f t="shared" si="103"/>
        <v/>
      </c>
      <c r="DT759" s="531" t="str">
        <f t="shared" si="104"/>
        <v/>
      </c>
      <c r="DU759" s="531" t="str">
        <f t="shared" si="105"/>
        <v/>
      </c>
      <c r="DV759" s="531" t="str">
        <f t="shared" si="106"/>
        <v/>
      </c>
      <c r="DW759" s="531" t="str">
        <f t="shared" si="107"/>
        <v/>
      </c>
      <c r="DX759" s="531" t="str">
        <f t="shared" si="108"/>
        <v/>
      </c>
      <c r="DY759" s="531" t="str">
        <f t="shared" si="109"/>
        <v/>
      </c>
      <c r="DZ759" s="531" t="str">
        <f t="shared" si="110"/>
        <v/>
      </c>
      <c r="EA759" s="531" t="str">
        <f t="shared" si="111"/>
        <v/>
      </c>
      <c r="EB759" s="531" t="str">
        <f t="shared" si="112"/>
        <v/>
      </c>
      <c r="EC759" s="531" t="str">
        <f t="shared" si="113"/>
        <v/>
      </c>
      <c r="ED759" s="531" t="str">
        <f t="shared" si="114"/>
        <v/>
      </c>
      <c r="EE759" s="531" t="str">
        <f t="shared" si="115"/>
        <v/>
      </c>
      <c r="EF759" s="531" t="str">
        <f t="shared" si="116"/>
        <v/>
      </c>
      <c r="EG759" s="531" t="str">
        <f t="shared" si="117"/>
        <v/>
      </c>
      <c r="EH759" s="531" t="str">
        <f t="shared" si="118"/>
        <v/>
      </c>
      <c r="EI759" s="531" t="str">
        <f t="shared" si="119"/>
        <v/>
      </c>
      <c r="EJ759" s="531" t="str">
        <f t="shared" si="120"/>
        <v/>
      </c>
      <c r="EK759" s="531" t="str">
        <f t="shared" si="121"/>
        <v/>
      </c>
      <c r="EL759" s="531" t="str">
        <f t="shared" si="122"/>
        <v/>
      </c>
      <c r="EM759" s="531" t="str">
        <f t="shared" si="123"/>
        <v/>
      </c>
      <c r="EN759" s="531" t="str">
        <f t="shared" si="124"/>
        <v/>
      </c>
      <c r="EO759" s="531" t="str">
        <f t="shared" si="125"/>
        <v/>
      </c>
      <c r="EP759" s="531" t="str">
        <f t="shared" si="126"/>
        <v/>
      </c>
      <c r="EQ759" s="531" t="str">
        <f t="shared" si="127"/>
        <v/>
      </c>
      <c r="ER759" s="531" t="str">
        <f t="shared" si="128"/>
        <v/>
      </c>
      <c r="ES759" s="531" t="str">
        <f t="shared" si="129"/>
        <v/>
      </c>
      <c r="ET759" s="531" t="str">
        <f t="shared" si="130"/>
        <v/>
      </c>
      <c r="EU759" s="531" t="str">
        <f t="shared" si="131"/>
        <v/>
      </c>
      <c r="EV759" s="531" t="str">
        <f t="shared" si="132"/>
        <v/>
      </c>
      <c r="EW759" s="1554" t="str">
        <f t="shared" si="133"/>
        <v/>
      </c>
      <c r="EX759" s="1554" t="str">
        <f t="shared" si="134"/>
        <v/>
      </c>
      <c r="EY759" s="1554" t="str">
        <f t="shared" si="135"/>
        <v/>
      </c>
      <c r="EZ759" s="1554" t="str">
        <f t="shared" si="136"/>
        <v/>
      </c>
      <c r="FA759" s="1554" t="str">
        <f t="shared" si="137"/>
        <v/>
      </c>
      <c r="FB759" s="1554" t="str">
        <f t="shared" si="138"/>
        <v/>
      </c>
      <c r="FC759" s="1554" t="str">
        <f t="shared" si="139"/>
        <v/>
      </c>
      <c r="FD759" s="1554" t="str">
        <f t="shared" si="140"/>
        <v/>
      </c>
      <c r="FE759" s="1554" t="str">
        <f t="shared" si="141"/>
        <v/>
      </c>
      <c r="FF759" s="1554" t="str">
        <f t="shared" si="142"/>
        <v/>
      </c>
      <c r="FG759" s="1554" t="str">
        <f t="shared" si="143"/>
        <v/>
      </c>
      <c r="FH759" s="1554" t="str">
        <f t="shared" si="144"/>
        <v/>
      </c>
      <c r="FI759" s="1554" t="str">
        <f t="shared" si="145"/>
        <v/>
      </c>
      <c r="FJ759" s="1554" t="str">
        <f t="shared" si="146"/>
        <v/>
      </c>
      <c r="FK759" s="1554" t="str">
        <f t="shared" si="147"/>
        <v/>
      </c>
      <c r="FL759" s="1554" t="str">
        <f t="shared" si="148"/>
        <v/>
      </c>
      <c r="FM759" s="1554" t="str">
        <f t="shared" si="149"/>
        <v/>
      </c>
      <c r="FN759" s="1554" t="str">
        <f t="shared" si="150"/>
        <v/>
      </c>
      <c r="FO759" s="1554" t="str">
        <f t="shared" si="151"/>
        <v/>
      </c>
      <c r="FP759" s="1554" t="str">
        <f t="shared" si="152"/>
        <v/>
      </c>
      <c r="FQ759" s="1554" t="str">
        <f t="shared" si="153"/>
        <v/>
      </c>
      <c r="FR759" s="1554" t="str">
        <f t="shared" si="154"/>
        <v/>
      </c>
      <c r="FS759" s="1554" t="str">
        <f t="shared" si="155"/>
        <v/>
      </c>
      <c r="FT759" s="1554" t="str">
        <f t="shared" si="156"/>
        <v/>
      </c>
      <c r="FU759" s="1554" t="str">
        <f t="shared" si="157"/>
        <v/>
      </c>
      <c r="FV759" s="1554" t="str">
        <f t="shared" si="158"/>
        <v/>
      </c>
      <c r="FW759" s="1554" t="str">
        <f t="shared" si="159"/>
        <v/>
      </c>
      <c r="FX759" s="1554" t="str">
        <f t="shared" si="160"/>
        <v/>
      </c>
      <c r="FY759" s="1554" t="str">
        <f t="shared" si="161"/>
        <v/>
      </c>
      <c r="FZ759" s="1554" t="str">
        <f t="shared" si="162"/>
        <v/>
      </c>
      <c r="GA759" s="1554" t="str">
        <f t="shared" si="163"/>
        <v/>
      </c>
      <c r="GB759" s="1554" t="str">
        <f t="shared" si="164"/>
        <v/>
      </c>
      <c r="GC759" s="1554" t="str">
        <f t="shared" si="165"/>
        <v/>
      </c>
      <c r="GD759" s="1554" t="str">
        <f t="shared" si="166"/>
        <v/>
      </c>
      <c r="GE759" s="1554" t="str">
        <f t="shared" si="167"/>
        <v/>
      </c>
      <c r="GF759" s="1554" t="str">
        <f t="shared" si="168"/>
        <v/>
      </c>
      <c r="GG759" s="1554" t="str">
        <f t="shared" si="169"/>
        <v/>
      </c>
      <c r="GH759" s="1554" t="str">
        <f t="shared" si="170"/>
        <v/>
      </c>
      <c r="GI759" s="1554" t="str">
        <f t="shared" si="171"/>
        <v/>
      </c>
      <c r="GJ759" s="1554" t="str">
        <f t="shared" si="172"/>
        <v/>
      </c>
      <c r="GK759" s="1554" t="str">
        <f t="shared" si="173"/>
        <v/>
      </c>
      <c r="GL759" s="1554" t="str">
        <f t="shared" si="174"/>
        <v/>
      </c>
      <c r="GM759" s="1554" t="str">
        <f t="shared" si="175"/>
        <v/>
      </c>
      <c r="GN759" s="1554" t="str">
        <f t="shared" si="176"/>
        <v/>
      </c>
      <c r="GO759" s="1554" t="str">
        <f t="shared" si="177"/>
        <v/>
      </c>
      <c r="GP759" s="1554" t="str">
        <f t="shared" si="178"/>
        <v/>
      </c>
      <c r="GQ759" s="1554" t="str">
        <f t="shared" si="179"/>
        <v/>
      </c>
      <c r="GR759" s="1554" t="str">
        <f t="shared" si="180"/>
        <v/>
      </c>
      <c r="GS759" s="1554" t="str">
        <f t="shared" si="181"/>
        <v/>
      </c>
      <c r="GT759" s="1554" t="str">
        <f t="shared" si="182"/>
        <v/>
      </c>
      <c r="GU759" s="1554" t="str">
        <f t="shared" si="183"/>
        <v/>
      </c>
      <c r="GV759" s="1554" t="str">
        <f t="shared" si="184"/>
        <v/>
      </c>
      <c r="GW759" s="1554" t="str">
        <f t="shared" si="185"/>
        <v/>
      </c>
      <c r="GX759" s="1554" t="str">
        <f t="shared" si="186"/>
        <v/>
      </c>
      <c r="GY759" s="1554" t="str">
        <f t="shared" si="187"/>
        <v/>
      </c>
      <c r="GZ759" s="1554" t="str">
        <f t="shared" si="188"/>
        <v/>
      </c>
      <c r="HA759" s="1554" t="str">
        <f t="shared" si="189"/>
        <v/>
      </c>
      <c r="HB759" s="1554" t="str">
        <f t="shared" si="190"/>
        <v/>
      </c>
      <c r="HC759" s="1554" t="str">
        <f t="shared" si="191"/>
        <v/>
      </c>
      <c r="HD759" s="1554" t="str">
        <f t="shared" si="192"/>
        <v/>
      </c>
      <c r="HE759" s="1554" t="str">
        <f t="shared" si="193"/>
        <v/>
      </c>
      <c r="HF759" s="1554" t="str">
        <f t="shared" si="194"/>
        <v/>
      </c>
      <c r="HG759" s="1554" t="str">
        <f t="shared" si="195"/>
        <v/>
      </c>
      <c r="HH759" s="1554" t="str">
        <f t="shared" si="196"/>
        <v/>
      </c>
      <c r="HI759" s="1554" t="str">
        <f t="shared" si="197"/>
        <v/>
      </c>
      <c r="HJ759" s="1554" t="str">
        <f t="shared" si="198"/>
        <v/>
      </c>
      <c r="HK759" s="1554" t="str">
        <f t="shared" si="199"/>
        <v/>
      </c>
      <c r="HL759" s="1554" t="str">
        <f t="shared" si="200"/>
        <v/>
      </c>
      <c r="HM759" s="1554" t="str">
        <f t="shared" si="201"/>
        <v/>
      </c>
      <c r="HN759" s="1554" t="str">
        <f t="shared" si="202"/>
        <v/>
      </c>
      <c r="HO759" s="1554" t="str">
        <f t="shared" si="203"/>
        <v/>
      </c>
      <c r="HP759" s="1554" t="str">
        <f t="shared" si="204"/>
        <v/>
      </c>
      <c r="HQ759" s="1554" t="str">
        <f t="shared" si="205"/>
        <v/>
      </c>
      <c r="HR759" s="1554" t="str">
        <f t="shared" si="206"/>
        <v/>
      </c>
      <c r="HS759" s="1554" t="str">
        <f t="shared" si="207"/>
        <v/>
      </c>
      <c r="HT759" s="1554" t="str">
        <f t="shared" si="208"/>
        <v/>
      </c>
      <c r="HU759" s="1554" t="str">
        <f t="shared" si="209"/>
        <v/>
      </c>
      <c r="HV759" s="1554" t="str">
        <f t="shared" si="210"/>
        <v/>
      </c>
      <c r="HW759" s="1554" t="str">
        <f t="shared" si="211"/>
        <v/>
      </c>
      <c r="HX759" s="1554" t="str">
        <f t="shared" si="212"/>
        <v/>
      </c>
      <c r="HY759" s="1554" t="str">
        <f t="shared" si="213"/>
        <v/>
      </c>
      <c r="HZ759" s="1554" t="str">
        <f t="shared" si="214"/>
        <v/>
      </c>
      <c r="IA759" s="1554" t="str">
        <f t="shared" si="215"/>
        <v/>
      </c>
      <c r="IB759" s="1554" t="str">
        <f t="shared" si="216"/>
        <v/>
      </c>
      <c r="IC759" s="1554" t="str">
        <f t="shared" si="217"/>
        <v/>
      </c>
      <c r="ID759" s="31" t="str">
        <f t="shared" si="218"/>
        <v/>
      </c>
      <c r="IE759" s="31" t="str">
        <f t="shared" si="219"/>
        <v/>
      </c>
      <c r="IF759" s="31" t="str">
        <f t="shared" si="220"/>
        <v/>
      </c>
      <c r="IG759" s="31" t="str">
        <f t="shared" si="221"/>
        <v/>
      </c>
      <c r="IH759" s="31" t="str">
        <f t="shared" si="222"/>
        <v/>
      </c>
      <c r="II759" s="531" t="str">
        <f t="shared" si="223"/>
        <v/>
      </c>
      <c r="IJ759" s="531" t="str">
        <f t="shared" si="224"/>
        <v/>
      </c>
      <c r="IK759" s="531" t="str">
        <f t="shared" si="225"/>
        <v/>
      </c>
      <c r="IL759" s="531" t="str">
        <f t="shared" si="226"/>
        <v/>
      </c>
      <c r="IM759" s="531" t="str">
        <f t="shared" si="227"/>
        <v/>
      </c>
      <c r="IN759" s="531" t="str">
        <f t="shared" si="228"/>
        <v/>
      </c>
      <c r="IO759" s="531" t="str">
        <f t="shared" si="229"/>
        <v/>
      </c>
      <c r="IP759" s="531" t="str">
        <f t="shared" si="230"/>
        <v/>
      </c>
      <c r="IQ759" s="531" t="str">
        <f t="shared" si="231"/>
        <v/>
      </c>
      <c r="IR759" s="531" t="str">
        <f t="shared" si="232"/>
        <v/>
      </c>
      <c r="IS759" s="531" t="str">
        <f t="shared" si="233"/>
        <v/>
      </c>
      <c r="IT759" s="531" t="str">
        <f t="shared" si="234"/>
        <v/>
      </c>
      <c r="IU759" s="531" t="str">
        <f t="shared" si="235"/>
        <v/>
      </c>
      <c r="IV759" s="531" t="str">
        <f t="shared" si="236"/>
        <v/>
      </c>
      <c r="IW759" s="531" t="str">
        <f t="shared" si="237"/>
        <v/>
      </c>
      <c r="IX759" s="531" t="str">
        <f t="shared" si="238"/>
        <v/>
      </c>
      <c r="IY759" s="531" t="str">
        <f t="shared" si="239"/>
        <v/>
      </c>
      <c r="IZ759" s="531" t="str">
        <f t="shared" si="240"/>
        <v/>
      </c>
      <c r="JA759" s="531" t="str">
        <f t="shared" si="241"/>
        <v/>
      </c>
      <c r="JB759" s="531" t="str">
        <f t="shared" si="242"/>
        <v/>
      </c>
      <c r="JC759" s="615">
        <f t="shared" si="243"/>
        <v>0</v>
      </c>
      <c r="JD759" s="615">
        <f t="shared" si="244"/>
        <v>0</v>
      </c>
      <c r="JE759" s="615">
        <f t="shared" si="245"/>
        <v>0</v>
      </c>
      <c r="JF759" s="615">
        <f t="shared" si="246"/>
        <v>0</v>
      </c>
      <c r="JG759" s="615">
        <f t="shared" si="247"/>
        <v>0</v>
      </c>
      <c r="JH759" s="615">
        <f t="shared" si="248"/>
        <v>0</v>
      </c>
      <c r="JI759" s="615">
        <f t="shared" si="249"/>
        <v>0</v>
      </c>
      <c r="JJ759" s="615">
        <f t="shared" si="250"/>
        <v>0</v>
      </c>
      <c r="JK759" s="615">
        <f t="shared" si="251"/>
        <v>0</v>
      </c>
      <c r="JL759" s="615">
        <f t="shared" si="252"/>
        <v>0</v>
      </c>
      <c r="JM759" s="615">
        <f t="shared" si="253"/>
        <v>0</v>
      </c>
      <c r="JN759" s="615">
        <f t="shared" si="254"/>
        <v>0</v>
      </c>
      <c r="JO759" s="615">
        <f t="shared" si="255"/>
        <v>0</v>
      </c>
      <c r="JP759" s="615">
        <f t="shared" si="256"/>
        <v>0</v>
      </c>
      <c r="JQ759" s="615">
        <f t="shared" si="257"/>
        <v>0</v>
      </c>
    </row>
    <row r="760" spans="1:277" ht="12" customHeight="1">
      <c r="A760" s="1190" t="str">
        <f t="shared" si="0"/>
        <v/>
      </c>
      <c r="B760" s="1545" t="str">
        <f>'Part VI-Revenues &amp; Expenses'!B17</f>
        <v>&lt;&lt;Select&gt;&gt;</v>
      </c>
      <c r="C760" s="1546">
        <f>'Part VI-Revenues &amp; Expenses'!C17</f>
        <v>0</v>
      </c>
      <c r="D760" s="1547">
        <f>'Part VI-Revenues &amp; Expenses'!D17</f>
        <v>0</v>
      </c>
      <c r="E760" s="1548">
        <f>'Part VI-Revenues &amp; Expenses'!E17</f>
        <v>0</v>
      </c>
      <c r="F760" s="1548">
        <f>'Part VI-Revenues &amp; Expenses'!F17</f>
        <v>0</v>
      </c>
      <c r="G760" s="1548">
        <f>'Part VI-Revenues &amp; Expenses'!G17</f>
        <v>0</v>
      </c>
      <c r="H760" s="1548">
        <f>'Part VI-Revenues &amp; Expenses'!H17</f>
        <v>0</v>
      </c>
      <c r="I760" s="1548">
        <f>'Part VI-Revenues &amp; Expenses'!I17</f>
        <v>0</v>
      </c>
      <c r="J760" s="1549">
        <f>'Part VI-Revenues &amp; Expenses'!J17</f>
        <v>0</v>
      </c>
      <c r="K760" s="1550">
        <f t="shared" si="1"/>
        <v>0</v>
      </c>
      <c r="L760" s="1550">
        <f t="shared" si="2"/>
        <v>0</v>
      </c>
      <c r="M760" s="1551">
        <f>'Part VI-Revenues &amp; Expenses'!M17</f>
        <v>0</v>
      </c>
      <c r="N760" s="1551">
        <f>'Part VI-Revenues &amp; Expenses'!N17</f>
        <v>0</v>
      </c>
      <c r="O760" s="1551">
        <f>'Part VI-Revenues &amp; Expenses'!O17</f>
        <v>0</v>
      </c>
      <c r="P760" s="1406">
        <f>'Part VI-Revenues &amp; Expenses'!P17</f>
        <v>0</v>
      </c>
      <c r="Q760" s="1552" t="str">
        <f>'Part VI-Revenues &amp; Expenses'!Q17</f>
        <v/>
      </c>
      <c r="R760" s="1553" t="str">
        <f>'Part VI-Revenues &amp; Expenses'!R17</f>
        <v/>
      </c>
      <c r="S760" s="1552">
        <f>'Part VI-Revenues &amp; Expenses'!S17</f>
        <v>0</v>
      </c>
      <c r="T760" s="1553">
        <f>'Part VI-Revenues &amp; Expenses'!T17</f>
        <v>0</v>
      </c>
      <c r="U760" s="1477"/>
      <c r="V760" s="1477"/>
      <c r="W760" s="531" t="str">
        <f t="shared" si="3"/>
        <v/>
      </c>
      <c r="X760" s="531" t="str">
        <f t="shared" si="4"/>
        <v/>
      </c>
      <c r="Y760" s="531" t="str">
        <f t="shared" si="5"/>
        <v/>
      </c>
      <c r="Z760" s="531" t="str">
        <f t="shared" si="6"/>
        <v/>
      </c>
      <c r="AA760" s="531" t="str">
        <f t="shared" si="7"/>
        <v/>
      </c>
      <c r="AB760" s="531" t="str">
        <f t="shared" si="8"/>
        <v/>
      </c>
      <c r="AC760" s="531" t="str">
        <f t="shared" si="9"/>
        <v/>
      </c>
      <c r="AD760" s="531" t="str">
        <f t="shared" si="10"/>
        <v/>
      </c>
      <c r="AE760" s="531" t="str">
        <f t="shared" si="11"/>
        <v/>
      </c>
      <c r="AF760" s="531" t="str">
        <f t="shared" si="12"/>
        <v/>
      </c>
      <c r="AG760" s="531" t="str">
        <f t="shared" si="13"/>
        <v/>
      </c>
      <c r="AH760" s="531" t="str">
        <f t="shared" si="14"/>
        <v/>
      </c>
      <c r="AI760" s="531" t="str">
        <f t="shared" si="15"/>
        <v/>
      </c>
      <c r="AJ760" s="531" t="str">
        <f t="shared" si="16"/>
        <v/>
      </c>
      <c r="AK760" s="531" t="str">
        <f t="shared" si="17"/>
        <v/>
      </c>
      <c r="AL760" s="531" t="str">
        <f t="shared" si="18"/>
        <v/>
      </c>
      <c r="AM760" s="531" t="str">
        <f t="shared" si="19"/>
        <v/>
      </c>
      <c r="AN760" s="531" t="str">
        <f t="shared" si="20"/>
        <v/>
      </c>
      <c r="AO760" s="531" t="str">
        <f t="shared" si="21"/>
        <v/>
      </c>
      <c r="AP760" s="531" t="str">
        <f t="shared" si="22"/>
        <v/>
      </c>
      <c r="AQ760" s="531" t="str">
        <f t="shared" si="23"/>
        <v/>
      </c>
      <c r="AR760" s="531" t="str">
        <f t="shared" si="24"/>
        <v/>
      </c>
      <c r="AS760" s="531" t="str">
        <f t="shared" si="25"/>
        <v/>
      </c>
      <c r="AT760" s="531" t="str">
        <f t="shared" si="26"/>
        <v/>
      </c>
      <c r="AU760" s="531" t="str">
        <f t="shared" si="27"/>
        <v/>
      </c>
      <c r="AV760" s="531" t="str">
        <f t="shared" si="28"/>
        <v/>
      </c>
      <c r="AW760" s="531" t="str">
        <f t="shared" si="29"/>
        <v/>
      </c>
      <c r="AX760" s="531" t="str">
        <f t="shared" si="30"/>
        <v/>
      </c>
      <c r="AY760" s="531" t="str">
        <f t="shared" si="31"/>
        <v/>
      </c>
      <c r="AZ760" s="531" t="str">
        <f t="shared" si="32"/>
        <v/>
      </c>
      <c r="BA760" s="531" t="str">
        <f t="shared" si="33"/>
        <v/>
      </c>
      <c r="BB760" s="531" t="str">
        <f t="shared" si="34"/>
        <v/>
      </c>
      <c r="BC760" s="531" t="str">
        <f t="shared" si="35"/>
        <v/>
      </c>
      <c r="BD760" s="531" t="str">
        <f t="shared" si="36"/>
        <v/>
      </c>
      <c r="BE760" s="531" t="str">
        <f t="shared" si="37"/>
        <v/>
      </c>
      <c r="BF760" s="531" t="str">
        <f t="shared" si="38"/>
        <v/>
      </c>
      <c r="BG760" s="531" t="str">
        <f t="shared" si="39"/>
        <v/>
      </c>
      <c r="BH760" s="531" t="str">
        <f t="shared" si="40"/>
        <v/>
      </c>
      <c r="BI760" s="531" t="str">
        <f t="shared" si="41"/>
        <v/>
      </c>
      <c r="BJ760" s="531" t="str">
        <f t="shared" si="42"/>
        <v/>
      </c>
      <c r="BK760" s="531" t="str">
        <f t="shared" si="43"/>
        <v/>
      </c>
      <c r="BL760" s="531" t="str">
        <f t="shared" si="44"/>
        <v/>
      </c>
      <c r="BM760" s="531" t="str">
        <f t="shared" si="45"/>
        <v/>
      </c>
      <c r="BN760" s="531" t="str">
        <f t="shared" si="46"/>
        <v/>
      </c>
      <c r="BO760" s="531" t="str">
        <f t="shared" si="47"/>
        <v/>
      </c>
      <c r="BP760" s="531" t="str">
        <f t="shared" si="48"/>
        <v/>
      </c>
      <c r="BQ760" s="531" t="str">
        <f t="shared" si="49"/>
        <v/>
      </c>
      <c r="BR760" s="531" t="str">
        <f t="shared" si="50"/>
        <v/>
      </c>
      <c r="BS760" s="531" t="str">
        <f t="shared" si="51"/>
        <v/>
      </c>
      <c r="BT760" s="531" t="str">
        <f t="shared" si="52"/>
        <v/>
      </c>
      <c r="BU760" s="531" t="str">
        <f t="shared" si="53"/>
        <v/>
      </c>
      <c r="BV760" s="531" t="str">
        <f t="shared" si="54"/>
        <v/>
      </c>
      <c r="BW760" s="531" t="str">
        <f t="shared" si="55"/>
        <v/>
      </c>
      <c r="BX760" s="531" t="str">
        <f t="shared" si="56"/>
        <v/>
      </c>
      <c r="BY760" s="531" t="str">
        <f t="shared" si="57"/>
        <v/>
      </c>
      <c r="BZ760" s="531" t="str">
        <f t="shared" si="58"/>
        <v/>
      </c>
      <c r="CA760" s="531" t="str">
        <f t="shared" si="59"/>
        <v/>
      </c>
      <c r="CB760" s="531" t="str">
        <f t="shared" si="60"/>
        <v/>
      </c>
      <c r="CC760" s="531" t="str">
        <f t="shared" si="61"/>
        <v/>
      </c>
      <c r="CD760" s="531" t="str">
        <f t="shared" si="62"/>
        <v/>
      </c>
      <c r="CE760" s="531" t="str">
        <f t="shared" si="63"/>
        <v/>
      </c>
      <c r="CF760" s="531" t="str">
        <f t="shared" si="64"/>
        <v/>
      </c>
      <c r="CG760" s="531" t="str">
        <f t="shared" si="65"/>
        <v/>
      </c>
      <c r="CH760" s="531" t="str">
        <f t="shared" si="66"/>
        <v/>
      </c>
      <c r="CI760" s="531" t="str">
        <f t="shared" si="67"/>
        <v/>
      </c>
      <c r="CJ760" s="531" t="str">
        <f t="shared" si="68"/>
        <v/>
      </c>
      <c r="CK760" s="531" t="str">
        <f t="shared" si="69"/>
        <v/>
      </c>
      <c r="CL760" s="531" t="str">
        <f t="shared" si="70"/>
        <v/>
      </c>
      <c r="CM760" s="531" t="str">
        <f t="shared" si="71"/>
        <v/>
      </c>
      <c r="CN760" s="531" t="str">
        <f t="shared" si="72"/>
        <v/>
      </c>
      <c r="CO760" s="531" t="str">
        <f t="shared" si="73"/>
        <v/>
      </c>
      <c r="CP760" s="531" t="str">
        <f t="shared" si="74"/>
        <v/>
      </c>
      <c r="CQ760" s="531" t="str">
        <f t="shared" si="75"/>
        <v/>
      </c>
      <c r="CR760" s="531" t="str">
        <f t="shared" si="76"/>
        <v/>
      </c>
      <c r="CS760" s="531" t="str">
        <f t="shared" si="77"/>
        <v/>
      </c>
      <c r="CT760" s="531" t="str">
        <f t="shared" si="78"/>
        <v/>
      </c>
      <c r="CU760" s="531" t="str">
        <f t="shared" si="79"/>
        <v/>
      </c>
      <c r="CV760" s="531" t="str">
        <f t="shared" si="80"/>
        <v/>
      </c>
      <c r="CW760" s="531" t="str">
        <f t="shared" si="81"/>
        <v/>
      </c>
      <c r="CX760" s="531" t="str">
        <f t="shared" si="82"/>
        <v/>
      </c>
      <c r="CY760" s="531" t="str">
        <f t="shared" si="83"/>
        <v/>
      </c>
      <c r="CZ760" s="531" t="str">
        <f t="shared" si="84"/>
        <v/>
      </c>
      <c r="DA760" s="531" t="str">
        <f t="shared" si="85"/>
        <v/>
      </c>
      <c r="DB760" s="531" t="str">
        <f t="shared" si="86"/>
        <v/>
      </c>
      <c r="DC760" s="531" t="str">
        <f t="shared" si="87"/>
        <v/>
      </c>
      <c r="DD760" s="531" t="str">
        <f t="shared" si="88"/>
        <v/>
      </c>
      <c r="DE760" s="531" t="str">
        <f t="shared" si="89"/>
        <v/>
      </c>
      <c r="DF760" s="531" t="str">
        <f t="shared" si="90"/>
        <v/>
      </c>
      <c r="DG760" s="531" t="str">
        <f t="shared" si="91"/>
        <v/>
      </c>
      <c r="DH760" s="531" t="str">
        <f t="shared" si="92"/>
        <v/>
      </c>
      <c r="DI760" s="531" t="str">
        <f t="shared" si="93"/>
        <v/>
      </c>
      <c r="DJ760" s="531" t="str">
        <f t="shared" si="94"/>
        <v/>
      </c>
      <c r="DK760" s="531" t="str">
        <f t="shared" si="95"/>
        <v/>
      </c>
      <c r="DL760" s="531" t="str">
        <f t="shared" si="96"/>
        <v/>
      </c>
      <c r="DM760" s="531" t="str">
        <f t="shared" si="97"/>
        <v/>
      </c>
      <c r="DN760" s="531" t="str">
        <f t="shared" si="98"/>
        <v/>
      </c>
      <c r="DO760" s="531" t="str">
        <f t="shared" si="99"/>
        <v/>
      </c>
      <c r="DP760" s="531" t="str">
        <f t="shared" si="100"/>
        <v/>
      </c>
      <c r="DQ760" s="531" t="str">
        <f t="shared" si="101"/>
        <v/>
      </c>
      <c r="DR760" s="531" t="str">
        <f t="shared" si="102"/>
        <v/>
      </c>
      <c r="DS760" s="531" t="str">
        <f t="shared" si="103"/>
        <v/>
      </c>
      <c r="DT760" s="531" t="str">
        <f t="shared" si="104"/>
        <v/>
      </c>
      <c r="DU760" s="531" t="str">
        <f t="shared" si="105"/>
        <v/>
      </c>
      <c r="DV760" s="531" t="str">
        <f t="shared" si="106"/>
        <v/>
      </c>
      <c r="DW760" s="531" t="str">
        <f t="shared" si="107"/>
        <v/>
      </c>
      <c r="DX760" s="531" t="str">
        <f t="shared" si="108"/>
        <v/>
      </c>
      <c r="DY760" s="531" t="str">
        <f t="shared" si="109"/>
        <v/>
      </c>
      <c r="DZ760" s="531" t="str">
        <f t="shared" si="110"/>
        <v/>
      </c>
      <c r="EA760" s="531" t="str">
        <f t="shared" si="111"/>
        <v/>
      </c>
      <c r="EB760" s="531" t="str">
        <f t="shared" si="112"/>
        <v/>
      </c>
      <c r="EC760" s="531" t="str">
        <f t="shared" si="113"/>
        <v/>
      </c>
      <c r="ED760" s="531" t="str">
        <f t="shared" si="114"/>
        <v/>
      </c>
      <c r="EE760" s="531" t="str">
        <f t="shared" si="115"/>
        <v/>
      </c>
      <c r="EF760" s="531" t="str">
        <f t="shared" si="116"/>
        <v/>
      </c>
      <c r="EG760" s="531" t="str">
        <f t="shared" si="117"/>
        <v/>
      </c>
      <c r="EH760" s="531" t="str">
        <f t="shared" si="118"/>
        <v/>
      </c>
      <c r="EI760" s="531" t="str">
        <f t="shared" si="119"/>
        <v/>
      </c>
      <c r="EJ760" s="531" t="str">
        <f t="shared" si="120"/>
        <v/>
      </c>
      <c r="EK760" s="531" t="str">
        <f t="shared" si="121"/>
        <v/>
      </c>
      <c r="EL760" s="531" t="str">
        <f t="shared" si="122"/>
        <v/>
      </c>
      <c r="EM760" s="531" t="str">
        <f t="shared" si="123"/>
        <v/>
      </c>
      <c r="EN760" s="531" t="str">
        <f t="shared" si="124"/>
        <v/>
      </c>
      <c r="EO760" s="531" t="str">
        <f t="shared" si="125"/>
        <v/>
      </c>
      <c r="EP760" s="531" t="str">
        <f t="shared" si="126"/>
        <v/>
      </c>
      <c r="EQ760" s="531" t="str">
        <f t="shared" si="127"/>
        <v/>
      </c>
      <c r="ER760" s="531" t="str">
        <f t="shared" si="128"/>
        <v/>
      </c>
      <c r="ES760" s="531" t="str">
        <f t="shared" si="129"/>
        <v/>
      </c>
      <c r="ET760" s="531" t="str">
        <f t="shared" si="130"/>
        <v/>
      </c>
      <c r="EU760" s="531" t="str">
        <f t="shared" si="131"/>
        <v/>
      </c>
      <c r="EV760" s="531" t="str">
        <f t="shared" si="132"/>
        <v/>
      </c>
      <c r="EW760" s="1554" t="str">
        <f t="shared" si="133"/>
        <v/>
      </c>
      <c r="EX760" s="1554" t="str">
        <f t="shared" si="134"/>
        <v/>
      </c>
      <c r="EY760" s="1554" t="str">
        <f t="shared" si="135"/>
        <v/>
      </c>
      <c r="EZ760" s="1554" t="str">
        <f t="shared" si="136"/>
        <v/>
      </c>
      <c r="FA760" s="1554" t="str">
        <f t="shared" si="137"/>
        <v/>
      </c>
      <c r="FB760" s="1554" t="str">
        <f t="shared" si="138"/>
        <v/>
      </c>
      <c r="FC760" s="1554" t="str">
        <f t="shared" si="139"/>
        <v/>
      </c>
      <c r="FD760" s="1554" t="str">
        <f t="shared" si="140"/>
        <v/>
      </c>
      <c r="FE760" s="1554" t="str">
        <f t="shared" si="141"/>
        <v/>
      </c>
      <c r="FF760" s="1554" t="str">
        <f t="shared" si="142"/>
        <v/>
      </c>
      <c r="FG760" s="1554" t="str">
        <f t="shared" si="143"/>
        <v/>
      </c>
      <c r="FH760" s="1554" t="str">
        <f t="shared" si="144"/>
        <v/>
      </c>
      <c r="FI760" s="1554" t="str">
        <f t="shared" si="145"/>
        <v/>
      </c>
      <c r="FJ760" s="1554" t="str">
        <f t="shared" si="146"/>
        <v/>
      </c>
      <c r="FK760" s="1554" t="str">
        <f t="shared" si="147"/>
        <v/>
      </c>
      <c r="FL760" s="1554" t="str">
        <f t="shared" si="148"/>
        <v/>
      </c>
      <c r="FM760" s="1554" t="str">
        <f t="shared" si="149"/>
        <v/>
      </c>
      <c r="FN760" s="1554" t="str">
        <f t="shared" si="150"/>
        <v/>
      </c>
      <c r="FO760" s="1554" t="str">
        <f t="shared" si="151"/>
        <v/>
      </c>
      <c r="FP760" s="1554" t="str">
        <f t="shared" si="152"/>
        <v/>
      </c>
      <c r="FQ760" s="1554" t="str">
        <f t="shared" si="153"/>
        <v/>
      </c>
      <c r="FR760" s="1554" t="str">
        <f t="shared" si="154"/>
        <v/>
      </c>
      <c r="FS760" s="1554" t="str">
        <f t="shared" si="155"/>
        <v/>
      </c>
      <c r="FT760" s="1554" t="str">
        <f t="shared" si="156"/>
        <v/>
      </c>
      <c r="FU760" s="1554" t="str">
        <f t="shared" si="157"/>
        <v/>
      </c>
      <c r="FV760" s="1554" t="str">
        <f t="shared" si="158"/>
        <v/>
      </c>
      <c r="FW760" s="1554" t="str">
        <f t="shared" si="159"/>
        <v/>
      </c>
      <c r="FX760" s="1554" t="str">
        <f t="shared" si="160"/>
        <v/>
      </c>
      <c r="FY760" s="1554" t="str">
        <f t="shared" si="161"/>
        <v/>
      </c>
      <c r="FZ760" s="1554" t="str">
        <f t="shared" si="162"/>
        <v/>
      </c>
      <c r="GA760" s="1554" t="str">
        <f t="shared" si="163"/>
        <v/>
      </c>
      <c r="GB760" s="1554" t="str">
        <f t="shared" si="164"/>
        <v/>
      </c>
      <c r="GC760" s="1554" t="str">
        <f t="shared" si="165"/>
        <v/>
      </c>
      <c r="GD760" s="1554" t="str">
        <f t="shared" si="166"/>
        <v/>
      </c>
      <c r="GE760" s="1554" t="str">
        <f t="shared" si="167"/>
        <v/>
      </c>
      <c r="GF760" s="1554" t="str">
        <f t="shared" si="168"/>
        <v/>
      </c>
      <c r="GG760" s="1554" t="str">
        <f t="shared" si="169"/>
        <v/>
      </c>
      <c r="GH760" s="1554" t="str">
        <f t="shared" si="170"/>
        <v/>
      </c>
      <c r="GI760" s="1554" t="str">
        <f t="shared" si="171"/>
        <v/>
      </c>
      <c r="GJ760" s="1554" t="str">
        <f t="shared" si="172"/>
        <v/>
      </c>
      <c r="GK760" s="1554" t="str">
        <f t="shared" si="173"/>
        <v/>
      </c>
      <c r="GL760" s="1554" t="str">
        <f t="shared" si="174"/>
        <v/>
      </c>
      <c r="GM760" s="1554" t="str">
        <f t="shared" si="175"/>
        <v/>
      </c>
      <c r="GN760" s="1554" t="str">
        <f t="shared" si="176"/>
        <v/>
      </c>
      <c r="GO760" s="1554" t="str">
        <f t="shared" si="177"/>
        <v/>
      </c>
      <c r="GP760" s="1554" t="str">
        <f t="shared" si="178"/>
        <v/>
      </c>
      <c r="GQ760" s="1554" t="str">
        <f t="shared" si="179"/>
        <v/>
      </c>
      <c r="GR760" s="1554" t="str">
        <f t="shared" si="180"/>
        <v/>
      </c>
      <c r="GS760" s="1554" t="str">
        <f t="shared" si="181"/>
        <v/>
      </c>
      <c r="GT760" s="1554" t="str">
        <f t="shared" si="182"/>
        <v/>
      </c>
      <c r="GU760" s="1554" t="str">
        <f t="shared" si="183"/>
        <v/>
      </c>
      <c r="GV760" s="1554" t="str">
        <f t="shared" si="184"/>
        <v/>
      </c>
      <c r="GW760" s="1554" t="str">
        <f t="shared" si="185"/>
        <v/>
      </c>
      <c r="GX760" s="1554" t="str">
        <f t="shared" si="186"/>
        <v/>
      </c>
      <c r="GY760" s="1554" t="str">
        <f t="shared" si="187"/>
        <v/>
      </c>
      <c r="GZ760" s="1554" t="str">
        <f t="shared" si="188"/>
        <v/>
      </c>
      <c r="HA760" s="1554" t="str">
        <f t="shared" si="189"/>
        <v/>
      </c>
      <c r="HB760" s="1554" t="str">
        <f t="shared" si="190"/>
        <v/>
      </c>
      <c r="HC760" s="1554" t="str">
        <f t="shared" si="191"/>
        <v/>
      </c>
      <c r="HD760" s="1554" t="str">
        <f t="shared" si="192"/>
        <v/>
      </c>
      <c r="HE760" s="1554" t="str">
        <f t="shared" si="193"/>
        <v/>
      </c>
      <c r="HF760" s="1554" t="str">
        <f t="shared" si="194"/>
        <v/>
      </c>
      <c r="HG760" s="1554" t="str">
        <f t="shared" si="195"/>
        <v/>
      </c>
      <c r="HH760" s="1554" t="str">
        <f t="shared" si="196"/>
        <v/>
      </c>
      <c r="HI760" s="1554" t="str">
        <f t="shared" si="197"/>
        <v/>
      </c>
      <c r="HJ760" s="1554" t="str">
        <f t="shared" si="198"/>
        <v/>
      </c>
      <c r="HK760" s="1554" t="str">
        <f t="shared" si="199"/>
        <v/>
      </c>
      <c r="HL760" s="1554" t="str">
        <f t="shared" si="200"/>
        <v/>
      </c>
      <c r="HM760" s="1554" t="str">
        <f t="shared" si="201"/>
        <v/>
      </c>
      <c r="HN760" s="1554" t="str">
        <f t="shared" si="202"/>
        <v/>
      </c>
      <c r="HO760" s="1554" t="str">
        <f t="shared" si="203"/>
        <v/>
      </c>
      <c r="HP760" s="1554" t="str">
        <f t="shared" si="204"/>
        <v/>
      </c>
      <c r="HQ760" s="1554" t="str">
        <f t="shared" si="205"/>
        <v/>
      </c>
      <c r="HR760" s="1554" t="str">
        <f t="shared" si="206"/>
        <v/>
      </c>
      <c r="HS760" s="1554" t="str">
        <f t="shared" si="207"/>
        <v/>
      </c>
      <c r="HT760" s="1554" t="str">
        <f t="shared" si="208"/>
        <v/>
      </c>
      <c r="HU760" s="1554" t="str">
        <f t="shared" si="209"/>
        <v/>
      </c>
      <c r="HV760" s="1554" t="str">
        <f t="shared" si="210"/>
        <v/>
      </c>
      <c r="HW760" s="1554" t="str">
        <f t="shared" si="211"/>
        <v/>
      </c>
      <c r="HX760" s="1554" t="str">
        <f t="shared" si="212"/>
        <v/>
      </c>
      <c r="HY760" s="1554" t="str">
        <f t="shared" si="213"/>
        <v/>
      </c>
      <c r="HZ760" s="1554" t="str">
        <f t="shared" si="214"/>
        <v/>
      </c>
      <c r="IA760" s="1554" t="str">
        <f t="shared" si="215"/>
        <v/>
      </c>
      <c r="IB760" s="1554" t="str">
        <f t="shared" si="216"/>
        <v/>
      </c>
      <c r="IC760" s="1554" t="str">
        <f t="shared" si="217"/>
        <v/>
      </c>
      <c r="ID760" s="31" t="str">
        <f t="shared" si="218"/>
        <v/>
      </c>
      <c r="IE760" s="31" t="str">
        <f t="shared" si="219"/>
        <v/>
      </c>
      <c r="IF760" s="31" t="str">
        <f t="shared" si="220"/>
        <v/>
      </c>
      <c r="IG760" s="31" t="str">
        <f t="shared" si="221"/>
        <v/>
      </c>
      <c r="IH760" s="31" t="str">
        <f t="shared" si="222"/>
        <v/>
      </c>
      <c r="II760" s="531" t="str">
        <f t="shared" si="223"/>
        <v/>
      </c>
      <c r="IJ760" s="531" t="str">
        <f t="shared" si="224"/>
        <v/>
      </c>
      <c r="IK760" s="531" t="str">
        <f t="shared" si="225"/>
        <v/>
      </c>
      <c r="IL760" s="531" t="str">
        <f t="shared" si="226"/>
        <v/>
      </c>
      <c r="IM760" s="531" t="str">
        <f t="shared" si="227"/>
        <v/>
      </c>
      <c r="IN760" s="531" t="str">
        <f t="shared" si="228"/>
        <v/>
      </c>
      <c r="IO760" s="531" t="str">
        <f t="shared" si="229"/>
        <v/>
      </c>
      <c r="IP760" s="531" t="str">
        <f t="shared" si="230"/>
        <v/>
      </c>
      <c r="IQ760" s="531" t="str">
        <f t="shared" si="231"/>
        <v/>
      </c>
      <c r="IR760" s="531" t="str">
        <f t="shared" si="232"/>
        <v/>
      </c>
      <c r="IS760" s="531" t="str">
        <f t="shared" si="233"/>
        <v/>
      </c>
      <c r="IT760" s="531" t="str">
        <f t="shared" si="234"/>
        <v/>
      </c>
      <c r="IU760" s="531" t="str">
        <f t="shared" si="235"/>
        <v/>
      </c>
      <c r="IV760" s="531" t="str">
        <f t="shared" si="236"/>
        <v/>
      </c>
      <c r="IW760" s="531" t="str">
        <f t="shared" si="237"/>
        <v/>
      </c>
      <c r="IX760" s="531" t="str">
        <f t="shared" si="238"/>
        <v/>
      </c>
      <c r="IY760" s="531" t="str">
        <f t="shared" si="239"/>
        <v/>
      </c>
      <c r="IZ760" s="531" t="str">
        <f t="shared" si="240"/>
        <v/>
      </c>
      <c r="JA760" s="531" t="str">
        <f t="shared" si="241"/>
        <v/>
      </c>
      <c r="JB760" s="531" t="str">
        <f t="shared" si="242"/>
        <v/>
      </c>
      <c r="JC760" s="615">
        <f t="shared" si="243"/>
        <v>0</v>
      </c>
      <c r="JD760" s="615">
        <f t="shared" si="244"/>
        <v>0</v>
      </c>
      <c r="JE760" s="615">
        <f t="shared" si="245"/>
        <v>0</v>
      </c>
      <c r="JF760" s="615">
        <f t="shared" si="246"/>
        <v>0</v>
      </c>
      <c r="JG760" s="615">
        <f t="shared" si="247"/>
        <v>0</v>
      </c>
      <c r="JH760" s="615">
        <f t="shared" si="248"/>
        <v>0</v>
      </c>
      <c r="JI760" s="615">
        <f t="shared" si="249"/>
        <v>0</v>
      </c>
      <c r="JJ760" s="615">
        <f t="shared" si="250"/>
        <v>0</v>
      </c>
      <c r="JK760" s="615">
        <f t="shared" si="251"/>
        <v>0</v>
      </c>
      <c r="JL760" s="615">
        <f t="shared" si="252"/>
        <v>0</v>
      </c>
      <c r="JM760" s="615">
        <f t="shared" si="253"/>
        <v>0</v>
      </c>
      <c r="JN760" s="615">
        <f t="shared" si="254"/>
        <v>0</v>
      </c>
      <c r="JO760" s="615">
        <f t="shared" si="255"/>
        <v>0</v>
      </c>
      <c r="JP760" s="615">
        <f t="shared" si="256"/>
        <v>0</v>
      </c>
      <c r="JQ760" s="615">
        <f t="shared" si="257"/>
        <v>0</v>
      </c>
    </row>
    <row r="761" spans="1:277" ht="12" customHeight="1">
      <c r="A761" s="1190" t="str">
        <f t="shared" si="0"/>
        <v/>
      </c>
      <c r="B761" s="1545" t="str">
        <f>'Part VI-Revenues &amp; Expenses'!B18</f>
        <v>&lt;&lt;Select&gt;&gt;</v>
      </c>
      <c r="C761" s="1546">
        <f>'Part VI-Revenues &amp; Expenses'!C18</f>
        <v>0</v>
      </c>
      <c r="D761" s="1547">
        <f>'Part VI-Revenues &amp; Expenses'!D18</f>
        <v>0</v>
      </c>
      <c r="E761" s="1548">
        <f>'Part VI-Revenues &amp; Expenses'!E18</f>
        <v>0</v>
      </c>
      <c r="F761" s="1548">
        <f>'Part VI-Revenues &amp; Expenses'!F18</f>
        <v>0</v>
      </c>
      <c r="G761" s="1548">
        <f>'Part VI-Revenues &amp; Expenses'!G18</f>
        <v>0</v>
      </c>
      <c r="H761" s="1548">
        <f>'Part VI-Revenues &amp; Expenses'!H18</f>
        <v>0</v>
      </c>
      <c r="I761" s="1548">
        <f>'Part VI-Revenues &amp; Expenses'!I18</f>
        <v>0</v>
      </c>
      <c r="J761" s="1549">
        <f>'Part VI-Revenues &amp; Expenses'!J18</f>
        <v>0</v>
      </c>
      <c r="K761" s="1550">
        <f t="shared" si="1"/>
        <v>0</v>
      </c>
      <c r="L761" s="1550">
        <f t="shared" si="2"/>
        <v>0</v>
      </c>
      <c r="M761" s="1551">
        <f>'Part VI-Revenues &amp; Expenses'!M18</f>
        <v>0</v>
      </c>
      <c r="N761" s="1551">
        <f>'Part VI-Revenues &amp; Expenses'!N18</f>
        <v>0</v>
      </c>
      <c r="O761" s="1551">
        <f>'Part VI-Revenues &amp; Expenses'!O18</f>
        <v>0</v>
      </c>
      <c r="P761" s="1406">
        <f>'Part VI-Revenues &amp; Expenses'!P18</f>
        <v>0</v>
      </c>
      <c r="Q761" s="1552" t="str">
        <f>'Part VI-Revenues &amp; Expenses'!Q18</f>
        <v/>
      </c>
      <c r="R761" s="1553" t="str">
        <f>'Part VI-Revenues &amp; Expenses'!R18</f>
        <v/>
      </c>
      <c r="S761" s="1552">
        <f>'Part VI-Revenues &amp; Expenses'!S18</f>
        <v>0</v>
      </c>
      <c r="T761" s="1553">
        <f>'Part VI-Revenues &amp; Expenses'!T18</f>
        <v>0</v>
      </c>
      <c r="U761" s="1477"/>
      <c r="V761" s="1477"/>
      <c r="W761" s="531" t="str">
        <f t="shared" si="3"/>
        <v/>
      </c>
      <c r="X761" s="531" t="str">
        <f t="shared" si="4"/>
        <v/>
      </c>
      <c r="Y761" s="531" t="str">
        <f t="shared" si="5"/>
        <v/>
      </c>
      <c r="Z761" s="531" t="str">
        <f t="shared" si="6"/>
        <v/>
      </c>
      <c r="AA761" s="531" t="str">
        <f t="shared" si="7"/>
        <v/>
      </c>
      <c r="AB761" s="531" t="str">
        <f t="shared" si="8"/>
        <v/>
      </c>
      <c r="AC761" s="531" t="str">
        <f t="shared" si="9"/>
        <v/>
      </c>
      <c r="AD761" s="531" t="str">
        <f t="shared" si="10"/>
        <v/>
      </c>
      <c r="AE761" s="531" t="str">
        <f t="shared" si="11"/>
        <v/>
      </c>
      <c r="AF761" s="531" t="str">
        <f t="shared" si="12"/>
        <v/>
      </c>
      <c r="AG761" s="531" t="str">
        <f t="shared" si="13"/>
        <v/>
      </c>
      <c r="AH761" s="531" t="str">
        <f t="shared" si="14"/>
        <v/>
      </c>
      <c r="AI761" s="531" t="str">
        <f t="shared" si="15"/>
        <v/>
      </c>
      <c r="AJ761" s="531" t="str">
        <f t="shared" si="16"/>
        <v/>
      </c>
      <c r="AK761" s="531" t="str">
        <f t="shared" si="17"/>
        <v/>
      </c>
      <c r="AL761" s="531" t="str">
        <f t="shared" si="18"/>
        <v/>
      </c>
      <c r="AM761" s="531" t="str">
        <f t="shared" si="19"/>
        <v/>
      </c>
      <c r="AN761" s="531" t="str">
        <f t="shared" si="20"/>
        <v/>
      </c>
      <c r="AO761" s="531" t="str">
        <f t="shared" si="21"/>
        <v/>
      </c>
      <c r="AP761" s="531" t="str">
        <f t="shared" si="22"/>
        <v/>
      </c>
      <c r="AQ761" s="531" t="str">
        <f t="shared" si="23"/>
        <v/>
      </c>
      <c r="AR761" s="531" t="str">
        <f t="shared" si="24"/>
        <v/>
      </c>
      <c r="AS761" s="531" t="str">
        <f t="shared" si="25"/>
        <v/>
      </c>
      <c r="AT761" s="531" t="str">
        <f t="shared" si="26"/>
        <v/>
      </c>
      <c r="AU761" s="531" t="str">
        <f t="shared" si="27"/>
        <v/>
      </c>
      <c r="AV761" s="531" t="str">
        <f t="shared" si="28"/>
        <v/>
      </c>
      <c r="AW761" s="531" t="str">
        <f t="shared" si="29"/>
        <v/>
      </c>
      <c r="AX761" s="531" t="str">
        <f t="shared" si="30"/>
        <v/>
      </c>
      <c r="AY761" s="531" t="str">
        <f t="shared" si="31"/>
        <v/>
      </c>
      <c r="AZ761" s="531" t="str">
        <f t="shared" si="32"/>
        <v/>
      </c>
      <c r="BA761" s="531" t="str">
        <f t="shared" si="33"/>
        <v/>
      </c>
      <c r="BB761" s="531" t="str">
        <f t="shared" si="34"/>
        <v/>
      </c>
      <c r="BC761" s="531" t="str">
        <f t="shared" si="35"/>
        <v/>
      </c>
      <c r="BD761" s="531" t="str">
        <f t="shared" si="36"/>
        <v/>
      </c>
      <c r="BE761" s="531" t="str">
        <f t="shared" si="37"/>
        <v/>
      </c>
      <c r="BF761" s="531" t="str">
        <f t="shared" si="38"/>
        <v/>
      </c>
      <c r="BG761" s="531" t="str">
        <f t="shared" si="39"/>
        <v/>
      </c>
      <c r="BH761" s="531" t="str">
        <f t="shared" si="40"/>
        <v/>
      </c>
      <c r="BI761" s="531" t="str">
        <f t="shared" si="41"/>
        <v/>
      </c>
      <c r="BJ761" s="531" t="str">
        <f t="shared" si="42"/>
        <v/>
      </c>
      <c r="BK761" s="531" t="str">
        <f t="shared" si="43"/>
        <v/>
      </c>
      <c r="BL761" s="531" t="str">
        <f t="shared" si="44"/>
        <v/>
      </c>
      <c r="BM761" s="531" t="str">
        <f t="shared" si="45"/>
        <v/>
      </c>
      <c r="BN761" s="531" t="str">
        <f t="shared" si="46"/>
        <v/>
      </c>
      <c r="BO761" s="531" t="str">
        <f t="shared" si="47"/>
        <v/>
      </c>
      <c r="BP761" s="531" t="str">
        <f t="shared" si="48"/>
        <v/>
      </c>
      <c r="BQ761" s="531" t="str">
        <f t="shared" si="49"/>
        <v/>
      </c>
      <c r="BR761" s="531" t="str">
        <f t="shared" si="50"/>
        <v/>
      </c>
      <c r="BS761" s="531" t="str">
        <f t="shared" si="51"/>
        <v/>
      </c>
      <c r="BT761" s="531" t="str">
        <f t="shared" si="52"/>
        <v/>
      </c>
      <c r="BU761" s="531" t="str">
        <f t="shared" si="53"/>
        <v/>
      </c>
      <c r="BV761" s="531" t="str">
        <f t="shared" si="54"/>
        <v/>
      </c>
      <c r="BW761" s="531" t="str">
        <f t="shared" si="55"/>
        <v/>
      </c>
      <c r="BX761" s="531" t="str">
        <f t="shared" si="56"/>
        <v/>
      </c>
      <c r="BY761" s="531" t="str">
        <f t="shared" si="57"/>
        <v/>
      </c>
      <c r="BZ761" s="531" t="str">
        <f t="shared" si="58"/>
        <v/>
      </c>
      <c r="CA761" s="531" t="str">
        <f t="shared" si="59"/>
        <v/>
      </c>
      <c r="CB761" s="531" t="str">
        <f t="shared" si="60"/>
        <v/>
      </c>
      <c r="CC761" s="531" t="str">
        <f t="shared" si="61"/>
        <v/>
      </c>
      <c r="CD761" s="531" t="str">
        <f t="shared" si="62"/>
        <v/>
      </c>
      <c r="CE761" s="531" t="str">
        <f t="shared" si="63"/>
        <v/>
      </c>
      <c r="CF761" s="531" t="str">
        <f t="shared" si="64"/>
        <v/>
      </c>
      <c r="CG761" s="531" t="str">
        <f t="shared" si="65"/>
        <v/>
      </c>
      <c r="CH761" s="531" t="str">
        <f t="shared" si="66"/>
        <v/>
      </c>
      <c r="CI761" s="531" t="str">
        <f t="shared" si="67"/>
        <v/>
      </c>
      <c r="CJ761" s="531" t="str">
        <f t="shared" si="68"/>
        <v/>
      </c>
      <c r="CK761" s="531" t="str">
        <f t="shared" si="69"/>
        <v/>
      </c>
      <c r="CL761" s="531" t="str">
        <f t="shared" si="70"/>
        <v/>
      </c>
      <c r="CM761" s="531" t="str">
        <f t="shared" si="71"/>
        <v/>
      </c>
      <c r="CN761" s="531" t="str">
        <f t="shared" si="72"/>
        <v/>
      </c>
      <c r="CO761" s="531" t="str">
        <f t="shared" si="73"/>
        <v/>
      </c>
      <c r="CP761" s="531" t="str">
        <f t="shared" si="74"/>
        <v/>
      </c>
      <c r="CQ761" s="531" t="str">
        <f t="shared" si="75"/>
        <v/>
      </c>
      <c r="CR761" s="531" t="str">
        <f t="shared" si="76"/>
        <v/>
      </c>
      <c r="CS761" s="531" t="str">
        <f t="shared" si="77"/>
        <v/>
      </c>
      <c r="CT761" s="531" t="str">
        <f t="shared" si="78"/>
        <v/>
      </c>
      <c r="CU761" s="531" t="str">
        <f t="shared" si="79"/>
        <v/>
      </c>
      <c r="CV761" s="531" t="str">
        <f t="shared" si="80"/>
        <v/>
      </c>
      <c r="CW761" s="531" t="str">
        <f t="shared" si="81"/>
        <v/>
      </c>
      <c r="CX761" s="531" t="str">
        <f t="shared" si="82"/>
        <v/>
      </c>
      <c r="CY761" s="531" t="str">
        <f t="shared" si="83"/>
        <v/>
      </c>
      <c r="CZ761" s="531" t="str">
        <f t="shared" si="84"/>
        <v/>
      </c>
      <c r="DA761" s="531" t="str">
        <f t="shared" si="85"/>
        <v/>
      </c>
      <c r="DB761" s="531" t="str">
        <f t="shared" si="86"/>
        <v/>
      </c>
      <c r="DC761" s="531" t="str">
        <f t="shared" si="87"/>
        <v/>
      </c>
      <c r="DD761" s="531" t="str">
        <f t="shared" si="88"/>
        <v/>
      </c>
      <c r="DE761" s="531" t="str">
        <f t="shared" si="89"/>
        <v/>
      </c>
      <c r="DF761" s="531" t="str">
        <f t="shared" si="90"/>
        <v/>
      </c>
      <c r="DG761" s="531" t="str">
        <f t="shared" si="91"/>
        <v/>
      </c>
      <c r="DH761" s="531" t="str">
        <f t="shared" si="92"/>
        <v/>
      </c>
      <c r="DI761" s="531" t="str">
        <f t="shared" si="93"/>
        <v/>
      </c>
      <c r="DJ761" s="531" t="str">
        <f t="shared" si="94"/>
        <v/>
      </c>
      <c r="DK761" s="531" t="str">
        <f t="shared" si="95"/>
        <v/>
      </c>
      <c r="DL761" s="531" t="str">
        <f t="shared" si="96"/>
        <v/>
      </c>
      <c r="DM761" s="531" t="str">
        <f t="shared" si="97"/>
        <v/>
      </c>
      <c r="DN761" s="531" t="str">
        <f t="shared" si="98"/>
        <v/>
      </c>
      <c r="DO761" s="531" t="str">
        <f t="shared" si="99"/>
        <v/>
      </c>
      <c r="DP761" s="531" t="str">
        <f t="shared" si="100"/>
        <v/>
      </c>
      <c r="DQ761" s="531" t="str">
        <f t="shared" si="101"/>
        <v/>
      </c>
      <c r="DR761" s="531" t="str">
        <f t="shared" si="102"/>
        <v/>
      </c>
      <c r="DS761" s="531" t="str">
        <f t="shared" si="103"/>
        <v/>
      </c>
      <c r="DT761" s="531" t="str">
        <f t="shared" si="104"/>
        <v/>
      </c>
      <c r="DU761" s="531" t="str">
        <f t="shared" si="105"/>
        <v/>
      </c>
      <c r="DV761" s="531" t="str">
        <f t="shared" si="106"/>
        <v/>
      </c>
      <c r="DW761" s="531" t="str">
        <f t="shared" si="107"/>
        <v/>
      </c>
      <c r="DX761" s="531" t="str">
        <f t="shared" si="108"/>
        <v/>
      </c>
      <c r="DY761" s="531" t="str">
        <f t="shared" si="109"/>
        <v/>
      </c>
      <c r="DZ761" s="531" t="str">
        <f t="shared" si="110"/>
        <v/>
      </c>
      <c r="EA761" s="531" t="str">
        <f t="shared" si="111"/>
        <v/>
      </c>
      <c r="EB761" s="531" t="str">
        <f t="shared" si="112"/>
        <v/>
      </c>
      <c r="EC761" s="531" t="str">
        <f t="shared" si="113"/>
        <v/>
      </c>
      <c r="ED761" s="531" t="str">
        <f t="shared" si="114"/>
        <v/>
      </c>
      <c r="EE761" s="531" t="str">
        <f t="shared" si="115"/>
        <v/>
      </c>
      <c r="EF761" s="531" t="str">
        <f t="shared" si="116"/>
        <v/>
      </c>
      <c r="EG761" s="531" t="str">
        <f t="shared" si="117"/>
        <v/>
      </c>
      <c r="EH761" s="531" t="str">
        <f t="shared" si="118"/>
        <v/>
      </c>
      <c r="EI761" s="531" t="str">
        <f t="shared" si="119"/>
        <v/>
      </c>
      <c r="EJ761" s="531" t="str">
        <f t="shared" si="120"/>
        <v/>
      </c>
      <c r="EK761" s="531" t="str">
        <f t="shared" si="121"/>
        <v/>
      </c>
      <c r="EL761" s="531" t="str">
        <f t="shared" si="122"/>
        <v/>
      </c>
      <c r="EM761" s="531" t="str">
        <f t="shared" si="123"/>
        <v/>
      </c>
      <c r="EN761" s="531" t="str">
        <f t="shared" si="124"/>
        <v/>
      </c>
      <c r="EO761" s="531" t="str">
        <f t="shared" si="125"/>
        <v/>
      </c>
      <c r="EP761" s="531" t="str">
        <f t="shared" si="126"/>
        <v/>
      </c>
      <c r="EQ761" s="531" t="str">
        <f t="shared" si="127"/>
        <v/>
      </c>
      <c r="ER761" s="531" t="str">
        <f t="shared" si="128"/>
        <v/>
      </c>
      <c r="ES761" s="531" t="str">
        <f t="shared" si="129"/>
        <v/>
      </c>
      <c r="ET761" s="531" t="str">
        <f t="shared" si="130"/>
        <v/>
      </c>
      <c r="EU761" s="531" t="str">
        <f t="shared" si="131"/>
        <v/>
      </c>
      <c r="EV761" s="531" t="str">
        <f t="shared" si="132"/>
        <v/>
      </c>
      <c r="EW761" s="1554" t="str">
        <f t="shared" si="133"/>
        <v/>
      </c>
      <c r="EX761" s="1554" t="str">
        <f t="shared" si="134"/>
        <v/>
      </c>
      <c r="EY761" s="1554" t="str">
        <f t="shared" si="135"/>
        <v/>
      </c>
      <c r="EZ761" s="1554" t="str">
        <f t="shared" si="136"/>
        <v/>
      </c>
      <c r="FA761" s="1554" t="str">
        <f t="shared" si="137"/>
        <v/>
      </c>
      <c r="FB761" s="1554" t="str">
        <f t="shared" si="138"/>
        <v/>
      </c>
      <c r="FC761" s="1554" t="str">
        <f t="shared" si="139"/>
        <v/>
      </c>
      <c r="FD761" s="1554" t="str">
        <f t="shared" si="140"/>
        <v/>
      </c>
      <c r="FE761" s="1554" t="str">
        <f t="shared" si="141"/>
        <v/>
      </c>
      <c r="FF761" s="1554" t="str">
        <f t="shared" si="142"/>
        <v/>
      </c>
      <c r="FG761" s="1554" t="str">
        <f t="shared" si="143"/>
        <v/>
      </c>
      <c r="FH761" s="1554" t="str">
        <f t="shared" si="144"/>
        <v/>
      </c>
      <c r="FI761" s="1554" t="str">
        <f t="shared" si="145"/>
        <v/>
      </c>
      <c r="FJ761" s="1554" t="str">
        <f t="shared" si="146"/>
        <v/>
      </c>
      <c r="FK761" s="1554" t="str">
        <f t="shared" si="147"/>
        <v/>
      </c>
      <c r="FL761" s="1554" t="str">
        <f t="shared" si="148"/>
        <v/>
      </c>
      <c r="FM761" s="1554" t="str">
        <f t="shared" si="149"/>
        <v/>
      </c>
      <c r="FN761" s="1554" t="str">
        <f t="shared" si="150"/>
        <v/>
      </c>
      <c r="FO761" s="1554" t="str">
        <f t="shared" si="151"/>
        <v/>
      </c>
      <c r="FP761" s="1554" t="str">
        <f t="shared" si="152"/>
        <v/>
      </c>
      <c r="FQ761" s="1554" t="str">
        <f t="shared" si="153"/>
        <v/>
      </c>
      <c r="FR761" s="1554" t="str">
        <f t="shared" si="154"/>
        <v/>
      </c>
      <c r="FS761" s="1554" t="str">
        <f t="shared" si="155"/>
        <v/>
      </c>
      <c r="FT761" s="1554" t="str">
        <f t="shared" si="156"/>
        <v/>
      </c>
      <c r="FU761" s="1554" t="str">
        <f t="shared" si="157"/>
        <v/>
      </c>
      <c r="FV761" s="1554" t="str">
        <f t="shared" si="158"/>
        <v/>
      </c>
      <c r="FW761" s="1554" t="str">
        <f t="shared" si="159"/>
        <v/>
      </c>
      <c r="FX761" s="1554" t="str">
        <f t="shared" si="160"/>
        <v/>
      </c>
      <c r="FY761" s="1554" t="str">
        <f t="shared" si="161"/>
        <v/>
      </c>
      <c r="FZ761" s="1554" t="str">
        <f t="shared" si="162"/>
        <v/>
      </c>
      <c r="GA761" s="1554" t="str">
        <f t="shared" si="163"/>
        <v/>
      </c>
      <c r="GB761" s="1554" t="str">
        <f t="shared" si="164"/>
        <v/>
      </c>
      <c r="GC761" s="1554" t="str">
        <f t="shared" si="165"/>
        <v/>
      </c>
      <c r="GD761" s="1554" t="str">
        <f t="shared" si="166"/>
        <v/>
      </c>
      <c r="GE761" s="1554" t="str">
        <f t="shared" si="167"/>
        <v/>
      </c>
      <c r="GF761" s="1554" t="str">
        <f t="shared" si="168"/>
        <v/>
      </c>
      <c r="GG761" s="1554" t="str">
        <f t="shared" si="169"/>
        <v/>
      </c>
      <c r="GH761" s="1554" t="str">
        <f t="shared" si="170"/>
        <v/>
      </c>
      <c r="GI761" s="1554" t="str">
        <f t="shared" si="171"/>
        <v/>
      </c>
      <c r="GJ761" s="1554" t="str">
        <f t="shared" si="172"/>
        <v/>
      </c>
      <c r="GK761" s="1554" t="str">
        <f t="shared" si="173"/>
        <v/>
      </c>
      <c r="GL761" s="1554" t="str">
        <f t="shared" si="174"/>
        <v/>
      </c>
      <c r="GM761" s="1554" t="str">
        <f t="shared" si="175"/>
        <v/>
      </c>
      <c r="GN761" s="1554" t="str">
        <f t="shared" si="176"/>
        <v/>
      </c>
      <c r="GO761" s="1554" t="str">
        <f t="shared" si="177"/>
        <v/>
      </c>
      <c r="GP761" s="1554" t="str">
        <f t="shared" si="178"/>
        <v/>
      </c>
      <c r="GQ761" s="1554" t="str">
        <f t="shared" si="179"/>
        <v/>
      </c>
      <c r="GR761" s="1554" t="str">
        <f t="shared" si="180"/>
        <v/>
      </c>
      <c r="GS761" s="1554" t="str">
        <f t="shared" si="181"/>
        <v/>
      </c>
      <c r="GT761" s="1554" t="str">
        <f t="shared" si="182"/>
        <v/>
      </c>
      <c r="GU761" s="1554" t="str">
        <f t="shared" si="183"/>
        <v/>
      </c>
      <c r="GV761" s="1554" t="str">
        <f t="shared" si="184"/>
        <v/>
      </c>
      <c r="GW761" s="1554" t="str">
        <f t="shared" si="185"/>
        <v/>
      </c>
      <c r="GX761" s="1554" t="str">
        <f t="shared" si="186"/>
        <v/>
      </c>
      <c r="GY761" s="1554" t="str">
        <f t="shared" si="187"/>
        <v/>
      </c>
      <c r="GZ761" s="1554" t="str">
        <f t="shared" si="188"/>
        <v/>
      </c>
      <c r="HA761" s="1554" t="str">
        <f t="shared" si="189"/>
        <v/>
      </c>
      <c r="HB761" s="1554" t="str">
        <f t="shared" si="190"/>
        <v/>
      </c>
      <c r="HC761" s="1554" t="str">
        <f t="shared" si="191"/>
        <v/>
      </c>
      <c r="HD761" s="1554" t="str">
        <f t="shared" si="192"/>
        <v/>
      </c>
      <c r="HE761" s="1554" t="str">
        <f t="shared" si="193"/>
        <v/>
      </c>
      <c r="HF761" s="1554" t="str">
        <f t="shared" si="194"/>
        <v/>
      </c>
      <c r="HG761" s="1554" t="str">
        <f t="shared" si="195"/>
        <v/>
      </c>
      <c r="HH761" s="1554" t="str">
        <f t="shared" si="196"/>
        <v/>
      </c>
      <c r="HI761" s="1554" t="str">
        <f t="shared" si="197"/>
        <v/>
      </c>
      <c r="HJ761" s="1554" t="str">
        <f t="shared" si="198"/>
        <v/>
      </c>
      <c r="HK761" s="1554" t="str">
        <f t="shared" si="199"/>
        <v/>
      </c>
      <c r="HL761" s="1554" t="str">
        <f t="shared" si="200"/>
        <v/>
      </c>
      <c r="HM761" s="1554" t="str">
        <f t="shared" si="201"/>
        <v/>
      </c>
      <c r="HN761" s="1554" t="str">
        <f t="shared" si="202"/>
        <v/>
      </c>
      <c r="HO761" s="1554" t="str">
        <f t="shared" si="203"/>
        <v/>
      </c>
      <c r="HP761" s="1554" t="str">
        <f t="shared" si="204"/>
        <v/>
      </c>
      <c r="HQ761" s="1554" t="str">
        <f t="shared" si="205"/>
        <v/>
      </c>
      <c r="HR761" s="1554" t="str">
        <f t="shared" si="206"/>
        <v/>
      </c>
      <c r="HS761" s="1554" t="str">
        <f t="shared" si="207"/>
        <v/>
      </c>
      <c r="HT761" s="1554" t="str">
        <f t="shared" si="208"/>
        <v/>
      </c>
      <c r="HU761" s="1554" t="str">
        <f t="shared" si="209"/>
        <v/>
      </c>
      <c r="HV761" s="1554" t="str">
        <f t="shared" si="210"/>
        <v/>
      </c>
      <c r="HW761" s="1554" t="str">
        <f t="shared" si="211"/>
        <v/>
      </c>
      <c r="HX761" s="1554" t="str">
        <f t="shared" si="212"/>
        <v/>
      </c>
      <c r="HY761" s="1554" t="str">
        <f t="shared" si="213"/>
        <v/>
      </c>
      <c r="HZ761" s="1554" t="str">
        <f t="shared" si="214"/>
        <v/>
      </c>
      <c r="IA761" s="1554" t="str">
        <f t="shared" si="215"/>
        <v/>
      </c>
      <c r="IB761" s="1554" t="str">
        <f t="shared" si="216"/>
        <v/>
      </c>
      <c r="IC761" s="1554" t="str">
        <f t="shared" si="217"/>
        <v/>
      </c>
      <c r="ID761" s="31" t="str">
        <f t="shared" si="218"/>
        <v/>
      </c>
      <c r="IE761" s="31" t="str">
        <f t="shared" si="219"/>
        <v/>
      </c>
      <c r="IF761" s="31" t="str">
        <f t="shared" si="220"/>
        <v/>
      </c>
      <c r="IG761" s="31" t="str">
        <f t="shared" si="221"/>
        <v/>
      </c>
      <c r="IH761" s="31" t="str">
        <f t="shared" si="222"/>
        <v/>
      </c>
      <c r="II761" s="531" t="str">
        <f t="shared" si="223"/>
        <v/>
      </c>
      <c r="IJ761" s="531" t="str">
        <f t="shared" si="224"/>
        <v/>
      </c>
      <c r="IK761" s="531" t="str">
        <f t="shared" si="225"/>
        <v/>
      </c>
      <c r="IL761" s="531" t="str">
        <f t="shared" si="226"/>
        <v/>
      </c>
      <c r="IM761" s="531" t="str">
        <f t="shared" si="227"/>
        <v/>
      </c>
      <c r="IN761" s="531" t="str">
        <f t="shared" si="228"/>
        <v/>
      </c>
      <c r="IO761" s="531" t="str">
        <f t="shared" si="229"/>
        <v/>
      </c>
      <c r="IP761" s="531" t="str">
        <f t="shared" si="230"/>
        <v/>
      </c>
      <c r="IQ761" s="531" t="str">
        <f t="shared" si="231"/>
        <v/>
      </c>
      <c r="IR761" s="531" t="str">
        <f t="shared" si="232"/>
        <v/>
      </c>
      <c r="IS761" s="531" t="str">
        <f t="shared" si="233"/>
        <v/>
      </c>
      <c r="IT761" s="531" t="str">
        <f t="shared" si="234"/>
        <v/>
      </c>
      <c r="IU761" s="531" t="str">
        <f t="shared" si="235"/>
        <v/>
      </c>
      <c r="IV761" s="531" t="str">
        <f t="shared" si="236"/>
        <v/>
      </c>
      <c r="IW761" s="531" t="str">
        <f t="shared" si="237"/>
        <v/>
      </c>
      <c r="IX761" s="531" t="str">
        <f t="shared" si="238"/>
        <v/>
      </c>
      <c r="IY761" s="531" t="str">
        <f t="shared" si="239"/>
        <v/>
      </c>
      <c r="IZ761" s="531" t="str">
        <f t="shared" si="240"/>
        <v/>
      </c>
      <c r="JA761" s="531" t="str">
        <f t="shared" si="241"/>
        <v/>
      </c>
      <c r="JB761" s="531" t="str">
        <f t="shared" si="242"/>
        <v/>
      </c>
      <c r="JC761" s="615">
        <f t="shared" si="243"/>
        <v>0</v>
      </c>
      <c r="JD761" s="615">
        <f t="shared" si="244"/>
        <v>0</v>
      </c>
      <c r="JE761" s="615">
        <f t="shared" si="245"/>
        <v>0</v>
      </c>
      <c r="JF761" s="615">
        <f t="shared" si="246"/>
        <v>0</v>
      </c>
      <c r="JG761" s="615">
        <f t="shared" si="247"/>
        <v>0</v>
      </c>
      <c r="JH761" s="615">
        <f t="shared" si="248"/>
        <v>0</v>
      </c>
      <c r="JI761" s="615">
        <f t="shared" si="249"/>
        <v>0</v>
      </c>
      <c r="JJ761" s="615">
        <f t="shared" si="250"/>
        <v>0</v>
      </c>
      <c r="JK761" s="615">
        <f t="shared" si="251"/>
        <v>0</v>
      </c>
      <c r="JL761" s="615">
        <f t="shared" si="252"/>
        <v>0</v>
      </c>
      <c r="JM761" s="615">
        <f t="shared" si="253"/>
        <v>0</v>
      </c>
      <c r="JN761" s="615">
        <f t="shared" si="254"/>
        <v>0</v>
      </c>
      <c r="JO761" s="615">
        <f t="shared" si="255"/>
        <v>0</v>
      </c>
      <c r="JP761" s="615">
        <f t="shared" si="256"/>
        <v>0</v>
      </c>
      <c r="JQ761" s="615">
        <f t="shared" si="257"/>
        <v>0</v>
      </c>
    </row>
    <row r="762" spans="1:277" ht="12" customHeight="1">
      <c r="A762" s="1190" t="str">
        <f t="shared" si="0"/>
        <v/>
      </c>
      <c r="B762" s="1545" t="str">
        <f>'Part VI-Revenues &amp; Expenses'!B19</f>
        <v>&lt;&lt;Select&gt;&gt;</v>
      </c>
      <c r="C762" s="1546">
        <f>'Part VI-Revenues &amp; Expenses'!C19</f>
        <v>0</v>
      </c>
      <c r="D762" s="1547">
        <f>'Part VI-Revenues &amp; Expenses'!D19</f>
        <v>0</v>
      </c>
      <c r="E762" s="1548">
        <f>'Part VI-Revenues &amp; Expenses'!E19</f>
        <v>0</v>
      </c>
      <c r="F762" s="1548">
        <f>'Part VI-Revenues &amp; Expenses'!F19</f>
        <v>0</v>
      </c>
      <c r="G762" s="1548">
        <f>'Part VI-Revenues &amp; Expenses'!G19</f>
        <v>0</v>
      </c>
      <c r="H762" s="1548">
        <f>'Part VI-Revenues &amp; Expenses'!H19</f>
        <v>0</v>
      </c>
      <c r="I762" s="1548">
        <f>'Part VI-Revenues &amp; Expenses'!I19</f>
        <v>0</v>
      </c>
      <c r="J762" s="1549">
        <f>'Part VI-Revenues &amp; Expenses'!J19</f>
        <v>0</v>
      </c>
      <c r="K762" s="1550">
        <f t="shared" si="1"/>
        <v>0</v>
      </c>
      <c r="L762" s="1550">
        <f t="shared" si="2"/>
        <v>0</v>
      </c>
      <c r="M762" s="1551">
        <f>'Part VI-Revenues &amp; Expenses'!M19</f>
        <v>0</v>
      </c>
      <c r="N762" s="1551">
        <f>'Part VI-Revenues &amp; Expenses'!N19</f>
        <v>0</v>
      </c>
      <c r="O762" s="1551">
        <f>'Part VI-Revenues &amp; Expenses'!O19</f>
        <v>0</v>
      </c>
      <c r="P762" s="1406">
        <f>'Part VI-Revenues &amp; Expenses'!P19</f>
        <v>0</v>
      </c>
      <c r="Q762" s="1552" t="str">
        <f>'Part VI-Revenues &amp; Expenses'!Q19</f>
        <v/>
      </c>
      <c r="R762" s="1553" t="str">
        <f>'Part VI-Revenues &amp; Expenses'!R19</f>
        <v/>
      </c>
      <c r="S762" s="1552">
        <f>'Part VI-Revenues &amp; Expenses'!S19</f>
        <v>0</v>
      </c>
      <c r="T762" s="1553">
        <f>'Part VI-Revenues &amp; Expenses'!T19</f>
        <v>0</v>
      </c>
      <c r="U762" s="1477"/>
      <c r="V762" s="1477"/>
      <c r="W762" s="531" t="str">
        <f t="shared" si="3"/>
        <v/>
      </c>
      <c r="X762" s="531" t="str">
        <f t="shared" si="4"/>
        <v/>
      </c>
      <c r="Y762" s="531" t="str">
        <f t="shared" si="5"/>
        <v/>
      </c>
      <c r="Z762" s="531" t="str">
        <f t="shared" si="6"/>
        <v/>
      </c>
      <c r="AA762" s="531" t="str">
        <f t="shared" si="7"/>
        <v/>
      </c>
      <c r="AB762" s="531" t="str">
        <f t="shared" si="8"/>
        <v/>
      </c>
      <c r="AC762" s="531" t="str">
        <f t="shared" si="9"/>
        <v/>
      </c>
      <c r="AD762" s="531" t="str">
        <f t="shared" si="10"/>
        <v/>
      </c>
      <c r="AE762" s="531" t="str">
        <f t="shared" si="11"/>
        <v/>
      </c>
      <c r="AF762" s="531" t="str">
        <f t="shared" si="12"/>
        <v/>
      </c>
      <c r="AG762" s="531" t="str">
        <f t="shared" si="13"/>
        <v/>
      </c>
      <c r="AH762" s="531" t="str">
        <f t="shared" si="14"/>
        <v/>
      </c>
      <c r="AI762" s="531" t="str">
        <f t="shared" si="15"/>
        <v/>
      </c>
      <c r="AJ762" s="531" t="str">
        <f t="shared" si="16"/>
        <v/>
      </c>
      <c r="AK762" s="531" t="str">
        <f t="shared" si="17"/>
        <v/>
      </c>
      <c r="AL762" s="531" t="str">
        <f t="shared" si="18"/>
        <v/>
      </c>
      <c r="AM762" s="531" t="str">
        <f t="shared" si="19"/>
        <v/>
      </c>
      <c r="AN762" s="531" t="str">
        <f t="shared" si="20"/>
        <v/>
      </c>
      <c r="AO762" s="531" t="str">
        <f t="shared" si="21"/>
        <v/>
      </c>
      <c r="AP762" s="531" t="str">
        <f t="shared" si="22"/>
        <v/>
      </c>
      <c r="AQ762" s="531" t="str">
        <f t="shared" si="23"/>
        <v/>
      </c>
      <c r="AR762" s="531" t="str">
        <f t="shared" si="24"/>
        <v/>
      </c>
      <c r="AS762" s="531" t="str">
        <f t="shared" si="25"/>
        <v/>
      </c>
      <c r="AT762" s="531" t="str">
        <f t="shared" si="26"/>
        <v/>
      </c>
      <c r="AU762" s="531" t="str">
        <f t="shared" si="27"/>
        <v/>
      </c>
      <c r="AV762" s="531" t="str">
        <f t="shared" si="28"/>
        <v/>
      </c>
      <c r="AW762" s="531" t="str">
        <f t="shared" si="29"/>
        <v/>
      </c>
      <c r="AX762" s="531" t="str">
        <f t="shared" si="30"/>
        <v/>
      </c>
      <c r="AY762" s="531" t="str">
        <f t="shared" si="31"/>
        <v/>
      </c>
      <c r="AZ762" s="531" t="str">
        <f t="shared" si="32"/>
        <v/>
      </c>
      <c r="BA762" s="531" t="str">
        <f t="shared" si="33"/>
        <v/>
      </c>
      <c r="BB762" s="531" t="str">
        <f t="shared" si="34"/>
        <v/>
      </c>
      <c r="BC762" s="531" t="str">
        <f t="shared" si="35"/>
        <v/>
      </c>
      <c r="BD762" s="531" t="str">
        <f t="shared" si="36"/>
        <v/>
      </c>
      <c r="BE762" s="531" t="str">
        <f t="shared" si="37"/>
        <v/>
      </c>
      <c r="BF762" s="531" t="str">
        <f t="shared" si="38"/>
        <v/>
      </c>
      <c r="BG762" s="531" t="str">
        <f t="shared" si="39"/>
        <v/>
      </c>
      <c r="BH762" s="531" t="str">
        <f t="shared" si="40"/>
        <v/>
      </c>
      <c r="BI762" s="531" t="str">
        <f t="shared" si="41"/>
        <v/>
      </c>
      <c r="BJ762" s="531" t="str">
        <f t="shared" si="42"/>
        <v/>
      </c>
      <c r="BK762" s="531" t="str">
        <f t="shared" si="43"/>
        <v/>
      </c>
      <c r="BL762" s="531" t="str">
        <f t="shared" si="44"/>
        <v/>
      </c>
      <c r="BM762" s="531" t="str">
        <f t="shared" si="45"/>
        <v/>
      </c>
      <c r="BN762" s="531" t="str">
        <f t="shared" si="46"/>
        <v/>
      </c>
      <c r="BO762" s="531" t="str">
        <f t="shared" si="47"/>
        <v/>
      </c>
      <c r="BP762" s="531" t="str">
        <f t="shared" si="48"/>
        <v/>
      </c>
      <c r="BQ762" s="531" t="str">
        <f t="shared" si="49"/>
        <v/>
      </c>
      <c r="BR762" s="531" t="str">
        <f t="shared" si="50"/>
        <v/>
      </c>
      <c r="BS762" s="531" t="str">
        <f t="shared" si="51"/>
        <v/>
      </c>
      <c r="BT762" s="531" t="str">
        <f t="shared" si="52"/>
        <v/>
      </c>
      <c r="BU762" s="531" t="str">
        <f t="shared" si="53"/>
        <v/>
      </c>
      <c r="BV762" s="531" t="str">
        <f t="shared" si="54"/>
        <v/>
      </c>
      <c r="BW762" s="531" t="str">
        <f t="shared" si="55"/>
        <v/>
      </c>
      <c r="BX762" s="531" t="str">
        <f t="shared" si="56"/>
        <v/>
      </c>
      <c r="BY762" s="531" t="str">
        <f t="shared" si="57"/>
        <v/>
      </c>
      <c r="BZ762" s="531" t="str">
        <f t="shared" si="58"/>
        <v/>
      </c>
      <c r="CA762" s="531" t="str">
        <f t="shared" si="59"/>
        <v/>
      </c>
      <c r="CB762" s="531" t="str">
        <f t="shared" si="60"/>
        <v/>
      </c>
      <c r="CC762" s="531" t="str">
        <f t="shared" si="61"/>
        <v/>
      </c>
      <c r="CD762" s="531" t="str">
        <f t="shared" si="62"/>
        <v/>
      </c>
      <c r="CE762" s="531" t="str">
        <f t="shared" si="63"/>
        <v/>
      </c>
      <c r="CF762" s="531" t="str">
        <f t="shared" si="64"/>
        <v/>
      </c>
      <c r="CG762" s="531" t="str">
        <f t="shared" si="65"/>
        <v/>
      </c>
      <c r="CH762" s="531" t="str">
        <f t="shared" si="66"/>
        <v/>
      </c>
      <c r="CI762" s="531" t="str">
        <f t="shared" si="67"/>
        <v/>
      </c>
      <c r="CJ762" s="531" t="str">
        <f t="shared" si="68"/>
        <v/>
      </c>
      <c r="CK762" s="531" t="str">
        <f t="shared" si="69"/>
        <v/>
      </c>
      <c r="CL762" s="531" t="str">
        <f t="shared" si="70"/>
        <v/>
      </c>
      <c r="CM762" s="531" t="str">
        <f t="shared" si="71"/>
        <v/>
      </c>
      <c r="CN762" s="531" t="str">
        <f t="shared" si="72"/>
        <v/>
      </c>
      <c r="CO762" s="531" t="str">
        <f t="shared" si="73"/>
        <v/>
      </c>
      <c r="CP762" s="531" t="str">
        <f t="shared" si="74"/>
        <v/>
      </c>
      <c r="CQ762" s="531" t="str">
        <f t="shared" si="75"/>
        <v/>
      </c>
      <c r="CR762" s="531" t="str">
        <f t="shared" si="76"/>
        <v/>
      </c>
      <c r="CS762" s="531" t="str">
        <f t="shared" si="77"/>
        <v/>
      </c>
      <c r="CT762" s="531" t="str">
        <f t="shared" si="78"/>
        <v/>
      </c>
      <c r="CU762" s="531" t="str">
        <f t="shared" si="79"/>
        <v/>
      </c>
      <c r="CV762" s="531" t="str">
        <f t="shared" si="80"/>
        <v/>
      </c>
      <c r="CW762" s="531" t="str">
        <f t="shared" si="81"/>
        <v/>
      </c>
      <c r="CX762" s="531" t="str">
        <f t="shared" si="82"/>
        <v/>
      </c>
      <c r="CY762" s="531" t="str">
        <f t="shared" si="83"/>
        <v/>
      </c>
      <c r="CZ762" s="531" t="str">
        <f t="shared" si="84"/>
        <v/>
      </c>
      <c r="DA762" s="531" t="str">
        <f t="shared" si="85"/>
        <v/>
      </c>
      <c r="DB762" s="531" t="str">
        <f t="shared" si="86"/>
        <v/>
      </c>
      <c r="DC762" s="531" t="str">
        <f t="shared" si="87"/>
        <v/>
      </c>
      <c r="DD762" s="531" t="str">
        <f t="shared" si="88"/>
        <v/>
      </c>
      <c r="DE762" s="531" t="str">
        <f t="shared" si="89"/>
        <v/>
      </c>
      <c r="DF762" s="531" t="str">
        <f t="shared" si="90"/>
        <v/>
      </c>
      <c r="DG762" s="531" t="str">
        <f t="shared" si="91"/>
        <v/>
      </c>
      <c r="DH762" s="531" t="str">
        <f t="shared" si="92"/>
        <v/>
      </c>
      <c r="DI762" s="531" t="str">
        <f t="shared" si="93"/>
        <v/>
      </c>
      <c r="DJ762" s="531" t="str">
        <f t="shared" si="94"/>
        <v/>
      </c>
      <c r="DK762" s="531" t="str">
        <f t="shared" si="95"/>
        <v/>
      </c>
      <c r="DL762" s="531" t="str">
        <f t="shared" si="96"/>
        <v/>
      </c>
      <c r="DM762" s="531" t="str">
        <f t="shared" si="97"/>
        <v/>
      </c>
      <c r="DN762" s="531" t="str">
        <f t="shared" si="98"/>
        <v/>
      </c>
      <c r="DO762" s="531" t="str">
        <f t="shared" si="99"/>
        <v/>
      </c>
      <c r="DP762" s="531" t="str">
        <f t="shared" si="100"/>
        <v/>
      </c>
      <c r="DQ762" s="531" t="str">
        <f t="shared" si="101"/>
        <v/>
      </c>
      <c r="DR762" s="531" t="str">
        <f t="shared" si="102"/>
        <v/>
      </c>
      <c r="DS762" s="531" t="str">
        <f t="shared" si="103"/>
        <v/>
      </c>
      <c r="DT762" s="531" t="str">
        <f t="shared" si="104"/>
        <v/>
      </c>
      <c r="DU762" s="531" t="str">
        <f t="shared" si="105"/>
        <v/>
      </c>
      <c r="DV762" s="531" t="str">
        <f t="shared" si="106"/>
        <v/>
      </c>
      <c r="DW762" s="531" t="str">
        <f t="shared" si="107"/>
        <v/>
      </c>
      <c r="DX762" s="531" t="str">
        <f t="shared" si="108"/>
        <v/>
      </c>
      <c r="DY762" s="531" t="str">
        <f t="shared" si="109"/>
        <v/>
      </c>
      <c r="DZ762" s="531" t="str">
        <f t="shared" si="110"/>
        <v/>
      </c>
      <c r="EA762" s="531" t="str">
        <f t="shared" si="111"/>
        <v/>
      </c>
      <c r="EB762" s="531" t="str">
        <f t="shared" si="112"/>
        <v/>
      </c>
      <c r="EC762" s="531" t="str">
        <f t="shared" si="113"/>
        <v/>
      </c>
      <c r="ED762" s="531" t="str">
        <f t="shared" si="114"/>
        <v/>
      </c>
      <c r="EE762" s="531" t="str">
        <f t="shared" si="115"/>
        <v/>
      </c>
      <c r="EF762" s="531" t="str">
        <f t="shared" si="116"/>
        <v/>
      </c>
      <c r="EG762" s="531" t="str">
        <f t="shared" si="117"/>
        <v/>
      </c>
      <c r="EH762" s="531" t="str">
        <f t="shared" si="118"/>
        <v/>
      </c>
      <c r="EI762" s="531" t="str">
        <f t="shared" si="119"/>
        <v/>
      </c>
      <c r="EJ762" s="531" t="str">
        <f t="shared" si="120"/>
        <v/>
      </c>
      <c r="EK762" s="531" t="str">
        <f t="shared" si="121"/>
        <v/>
      </c>
      <c r="EL762" s="531" t="str">
        <f t="shared" si="122"/>
        <v/>
      </c>
      <c r="EM762" s="531" t="str">
        <f t="shared" si="123"/>
        <v/>
      </c>
      <c r="EN762" s="531" t="str">
        <f t="shared" si="124"/>
        <v/>
      </c>
      <c r="EO762" s="531" t="str">
        <f t="shared" si="125"/>
        <v/>
      </c>
      <c r="EP762" s="531" t="str">
        <f t="shared" si="126"/>
        <v/>
      </c>
      <c r="EQ762" s="531" t="str">
        <f t="shared" si="127"/>
        <v/>
      </c>
      <c r="ER762" s="531" t="str">
        <f t="shared" si="128"/>
        <v/>
      </c>
      <c r="ES762" s="531" t="str">
        <f t="shared" si="129"/>
        <v/>
      </c>
      <c r="ET762" s="531" t="str">
        <f t="shared" si="130"/>
        <v/>
      </c>
      <c r="EU762" s="531" t="str">
        <f t="shared" si="131"/>
        <v/>
      </c>
      <c r="EV762" s="531" t="str">
        <f t="shared" si="132"/>
        <v/>
      </c>
      <c r="EW762" s="1554" t="str">
        <f t="shared" si="133"/>
        <v/>
      </c>
      <c r="EX762" s="1554" t="str">
        <f t="shared" si="134"/>
        <v/>
      </c>
      <c r="EY762" s="1554" t="str">
        <f t="shared" si="135"/>
        <v/>
      </c>
      <c r="EZ762" s="1554" t="str">
        <f t="shared" si="136"/>
        <v/>
      </c>
      <c r="FA762" s="1554" t="str">
        <f t="shared" si="137"/>
        <v/>
      </c>
      <c r="FB762" s="1554" t="str">
        <f t="shared" si="138"/>
        <v/>
      </c>
      <c r="FC762" s="1554" t="str">
        <f t="shared" si="139"/>
        <v/>
      </c>
      <c r="FD762" s="1554" t="str">
        <f t="shared" si="140"/>
        <v/>
      </c>
      <c r="FE762" s="1554" t="str">
        <f t="shared" si="141"/>
        <v/>
      </c>
      <c r="FF762" s="1554" t="str">
        <f t="shared" si="142"/>
        <v/>
      </c>
      <c r="FG762" s="1554" t="str">
        <f t="shared" si="143"/>
        <v/>
      </c>
      <c r="FH762" s="1554" t="str">
        <f t="shared" si="144"/>
        <v/>
      </c>
      <c r="FI762" s="1554" t="str">
        <f t="shared" si="145"/>
        <v/>
      </c>
      <c r="FJ762" s="1554" t="str">
        <f t="shared" si="146"/>
        <v/>
      </c>
      <c r="FK762" s="1554" t="str">
        <f t="shared" si="147"/>
        <v/>
      </c>
      <c r="FL762" s="1554" t="str">
        <f t="shared" si="148"/>
        <v/>
      </c>
      <c r="FM762" s="1554" t="str">
        <f t="shared" si="149"/>
        <v/>
      </c>
      <c r="FN762" s="1554" t="str">
        <f t="shared" si="150"/>
        <v/>
      </c>
      <c r="FO762" s="1554" t="str">
        <f t="shared" si="151"/>
        <v/>
      </c>
      <c r="FP762" s="1554" t="str">
        <f t="shared" si="152"/>
        <v/>
      </c>
      <c r="FQ762" s="1554" t="str">
        <f t="shared" si="153"/>
        <v/>
      </c>
      <c r="FR762" s="1554" t="str">
        <f t="shared" si="154"/>
        <v/>
      </c>
      <c r="FS762" s="1554" t="str">
        <f t="shared" si="155"/>
        <v/>
      </c>
      <c r="FT762" s="1554" t="str">
        <f t="shared" si="156"/>
        <v/>
      </c>
      <c r="FU762" s="1554" t="str">
        <f t="shared" si="157"/>
        <v/>
      </c>
      <c r="FV762" s="1554" t="str">
        <f t="shared" si="158"/>
        <v/>
      </c>
      <c r="FW762" s="1554" t="str">
        <f t="shared" si="159"/>
        <v/>
      </c>
      <c r="FX762" s="1554" t="str">
        <f t="shared" si="160"/>
        <v/>
      </c>
      <c r="FY762" s="1554" t="str">
        <f t="shared" si="161"/>
        <v/>
      </c>
      <c r="FZ762" s="1554" t="str">
        <f t="shared" si="162"/>
        <v/>
      </c>
      <c r="GA762" s="1554" t="str">
        <f t="shared" si="163"/>
        <v/>
      </c>
      <c r="GB762" s="1554" t="str">
        <f t="shared" si="164"/>
        <v/>
      </c>
      <c r="GC762" s="1554" t="str">
        <f t="shared" si="165"/>
        <v/>
      </c>
      <c r="GD762" s="1554" t="str">
        <f t="shared" si="166"/>
        <v/>
      </c>
      <c r="GE762" s="1554" t="str">
        <f t="shared" si="167"/>
        <v/>
      </c>
      <c r="GF762" s="1554" t="str">
        <f t="shared" si="168"/>
        <v/>
      </c>
      <c r="GG762" s="1554" t="str">
        <f t="shared" si="169"/>
        <v/>
      </c>
      <c r="GH762" s="1554" t="str">
        <f t="shared" si="170"/>
        <v/>
      </c>
      <c r="GI762" s="1554" t="str">
        <f t="shared" si="171"/>
        <v/>
      </c>
      <c r="GJ762" s="1554" t="str">
        <f t="shared" si="172"/>
        <v/>
      </c>
      <c r="GK762" s="1554" t="str">
        <f t="shared" si="173"/>
        <v/>
      </c>
      <c r="GL762" s="1554" t="str">
        <f t="shared" si="174"/>
        <v/>
      </c>
      <c r="GM762" s="1554" t="str">
        <f t="shared" si="175"/>
        <v/>
      </c>
      <c r="GN762" s="1554" t="str">
        <f t="shared" si="176"/>
        <v/>
      </c>
      <c r="GO762" s="1554" t="str">
        <f t="shared" si="177"/>
        <v/>
      </c>
      <c r="GP762" s="1554" t="str">
        <f t="shared" si="178"/>
        <v/>
      </c>
      <c r="GQ762" s="1554" t="str">
        <f t="shared" si="179"/>
        <v/>
      </c>
      <c r="GR762" s="1554" t="str">
        <f t="shared" si="180"/>
        <v/>
      </c>
      <c r="GS762" s="1554" t="str">
        <f t="shared" si="181"/>
        <v/>
      </c>
      <c r="GT762" s="1554" t="str">
        <f t="shared" si="182"/>
        <v/>
      </c>
      <c r="GU762" s="1554" t="str">
        <f t="shared" si="183"/>
        <v/>
      </c>
      <c r="GV762" s="1554" t="str">
        <f t="shared" si="184"/>
        <v/>
      </c>
      <c r="GW762" s="1554" t="str">
        <f t="shared" si="185"/>
        <v/>
      </c>
      <c r="GX762" s="1554" t="str">
        <f t="shared" si="186"/>
        <v/>
      </c>
      <c r="GY762" s="1554" t="str">
        <f t="shared" si="187"/>
        <v/>
      </c>
      <c r="GZ762" s="1554" t="str">
        <f t="shared" si="188"/>
        <v/>
      </c>
      <c r="HA762" s="1554" t="str">
        <f t="shared" si="189"/>
        <v/>
      </c>
      <c r="HB762" s="1554" t="str">
        <f t="shared" si="190"/>
        <v/>
      </c>
      <c r="HC762" s="1554" t="str">
        <f t="shared" si="191"/>
        <v/>
      </c>
      <c r="HD762" s="1554" t="str">
        <f t="shared" si="192"/>
        <v/>
      </c>
      <c r="HE762" s="1554" t="str">
        <f t="shared" si="193"/>
        <v/>
      </c>
      <c r="HF762" s="1554" t="str">
        <f t="shared" si="194"/>
        <v/>
      </c>
      <c r="HG762" s="1554" t="str">
        <f t="shared" si="195"/>
        <v/>
      </c>
      <c r="HH762" s="1554" t="str">
        <f t="shared" si="196"/>
        <v/>
      </c>
      <c r="HI762" s="1554" t="str">
        <f t="shared" si="197"/>
        <v/>
      </c>
      <c r="HJ762" s="1554" t="str">
        <f t="shared" si="198"/>
        <v/>
      </c>
      <c r="HK762" s="1554" t="str">
        <f t="shared" si="199"/>
        <v/>
      </c>
      <c r="HL762" s="1554" t="str">
        <f t="shared" si="200"/>
        <v/>
      </c>
      <c r="HM762" s="1554" t="str">
        <f t="shared" si="201"/>
        <v/>
      </c>
      <c r="HN762" s="1554" t="str">
        <f t="shared" si="202"/>
        <v/>
      </c>
      <c r="HO762" s="1554" t="str">
        <f t="shared" si="203"/>
        <v/>
      </c>
      <c r="HP762" s="1554" t="str">
        <f t="shared" si="204"/>
        <v/>
      </c>
      <c r="HQ762" s="1554" t="str">
        <f t="shared" si="205"/>
        <v/>
      </c>
      <c r="HR762" s="1554" t="str">
        <f t="shared" si="206"/>
        <v/>
      </c>
      <c r="HS762" s="1554" t="str">
        <f t="shared" si="207"/>
        <v/>
      </c>
      <c r="HT762" s="1554" t="str">
        <f t="shared" si="208"/>
        <v/>
      </c>
      <c r="HU762" s="1554" t="str">
        <f t="shared" si="209"/>
        <v/>
      </c>
      <c r="HV762" s="1554" t="str">
        <f t="shared" si="210"/>
        <v/>
      </c>
      <c r="HW762" s="1554" t="str">
        <f t="shared" si="211"/>
        <v/>
      </c>
      <c r="HX762" s="1554" t="str">
        <f t="shared" si="212"/>
        <v/>
      </c>
      <c r="HY762" s="1554" t="str">
        <f t="shared" si="213"/>
        <v/>
      </c>
      <c r="HZ762" s="1554" t="str">
        <f t="shared" si="214"/>
        <v/>
      </c>
      <c r="IA762" s="1554" t="str">
        <f t="shared" si="215"/>
        <v/>
      </c>
      <c r="IB762" s="1554" t="str">
        <f t="shared" si="216"/>
        <v/>
      </c>
      <c r="IC762" s="1554" t="str">
        <f t="shared" si="217"/>
        <v/>
      </c>
      <c r="ID762" s="31" t="str">
        <f t="shared" si="218"/>
        <v/>
      </c>
      <c r="IE762" s="31" t="str">
        <f t="shared" si="219"/>
        <v/>
      </c>
      <c r="IF762" s="31" t="str">
        <f t="shared" si="220"/>
        <v/>
      </c>
      <c r="IG762" s="31" t="str">
        <f t="shared" si="221"/>
        <v/>
      </c>
      <c r="IH762" s="31" t="str">
        <f t="shared" si="222"/>
        <v/>
      </c>
      <c r="II762" s="531" t="str">
        <f t="shared" si="223"/>
        <v/>
      </c>
      <c r="IJ762" s="531" t="str">
        <f t="shared" si="224"/>
        <v/>
      </c>
      <c r="IK762" s="531" t="str">
        <f t="shared" si="225"/>
        <v/>
      </c>
      <c r="IL762" s="531" t="str">
        <f t="shared" si="226"/>
        <v/>
      </c>
      <c r="IM762" s="531" t="str">
        <f t="shared" si="227"/>
        <v/>
      </c>
      <c r="IN762" s="531" t="str">
        <f t="shared" si="228"/>
        <v/>
      </c>
      <c r="IO762" s="531" t="str">
        <f t="shared" si="229"/>
        <v/>
      </c>
      <c r="IP762" s="531" t="str">
        <f t="shared" si="230"/>
        <v/>
      </c>
      <c r="IQ762" s="531" t="str">
        <f t="shared" si="231"/>
        <v/>
      </c>
      <c r="IR762" s="531" t="str">
        <f t="shared" si="232"/>
        <v/>
      </c>
      <c r="IS762" s="531" t="str">
        <f t="shared" si="233"/>
        <v/>
      </c>
      <c r="IT762" s="531" t="str">
        <f t="shared" si="234"/>
        <v/>
      </c>
      <c r="IU762" s="531" t="str">
        <f t="shared" si="235"/>
        <v/>
      </c>
      <c r="IV762" s="531" t="str">
        <f t="shared" si="236"/>
        <v/>
      </c>
      <c r="IW762" s="531" t="str">
        <f t="shared" si="237"/>
        <v/>
      </c>
      <c r="IX762" s="531" t="str">
        <f t="shared" si="238"/>
        <v/>
      </c>
      <c r="IY762" s="531" t="str">
        <f t="shared" si="239"/>
        <v/>
      </c>
      <c r="IZ762" s="531" t="str">
        <f t="shared" si="240"/>
        <v/>
      </c>
      <c r="JA762" s="531" t="str">
        <f t="shared" si="241"/>
        <v/>
      </c>
      <c r="JB762" s="531" t="str">
        <f t="shared" si="242"/>
        <v/>
      </c>
      <c r="JC762" s="615">
        <f t="shared" si="243"/>
        <v>0</v>
      </c>
      <c r="JD762" s="615">
        <f t="shared" si="244"/>
        <v>0</v>
      </c>
      <c r="JE762" s="615">
        <f t="shared" si="245"/>
        <v>0</v>
      </c>
      <c r="JF762" s="615">
        <f t="shared" si="246"/>
        <v>0</v>
      </c>
      <c r="JG762" s="615">
        <f t="shared" si="247"/>
        <v>0</v>
      </c>
      <c r="JH762" s="615">
        <f t="shared" si="248"/>
        <v>0</v>
      </c>
      <c r="JI762" s="615">
        <f t="shared" si="249"/>
        <v>0</v>
      </c>
      <c r="JJ762" s="615">
        <f t="shared" si="250"/>
        <v>0</v>
      </c>
      <c r="JK762" s="615">
        <f t="shared" si="251"/>
        <v>0</v>
      </c>
      <c r="JL762" s="615">
        <f t="shared" si="252"/>
        <v>0</v>
      </c>
      <c r="JM762" s="615">
        <f t="shared" si="253"/>
        <v>0</v>
      </c>
      <c r="JN762" s="615">
        <f t="shared" si="254"/>
        <v>0</v>
      </c>
      <c r="JO762" s="615">
        <f t="shared" si="255"/>
        <v>0</v>
      </c>
      <c r="JP762" s="615">
        <f t="shared" si="256"/>
        <v>0</v>
      </c>
      <c r="JQ762" s="615">
        <f t="shared" si="257"/>
        <v>0</v>
      </c>
    </row>
    <row r="763" spans="1:277" ht="12" customHeight="1">
      <c r="A763" s="1190" t="str">
        <f t="shared" si="0"/>
        <v/>
      </c>
      <c r="B763" s="1545" t="str">
        <f>'Part VI-Revenues &amp; Expenses'!B20</f>
        <v>&lt;&lt;Select&gt;&gt;</v>
      </c>
      <c r="C763" s="1546">
        <f>'Part VI-Revenues &amp; Expenses'!C20</f>
        <v>0</v>
      </c>
      <c r="D763" s="1547">
        <f>'Part VI-Revenues &amp; Expenses'!D20</f>
        <v>0</v>
      </c>
      <c r="E763" s="1548">
        <f>'Part VI-Revenues &amp; Expenses'!E20</f>
        <v>0</v>
      </c>
      <c r="F763" s="1548">
        <f>'Part VI-Revenues &amp; Expenses'!F20</f>
        <v>0</v>
      </c>
      <c r="G763" s="1548">
        <f>'Part VI-Revenues &amp; Expenses'!G20</f>
        <v>0</v>
      </c>
      <c r="H763" s="1548">
        <f>'Part VI-Revenues &amp; Expenses'!H20</f>
        <v>0</v>
      </c>
      <c r="I763" s="1548">
        <f>'Part VI-Revenues &amp; Expenses'!I20</f>
        <v>0</v>
      </c>
      <c r="J763" s="1549">
        <f>'Part VI-Revenues &amp; Expenses'!J20</f>
        <v>0</v>
      </c>
      <c r="K763" s="1550">
        <f t="shared" si="1"/>
        <v>0</v>
      </c>
      <c r="L763" s="1550">
        <f t="shared" si="2"/>
        <v>0</v>
      </c>
      <c r="M763" s="1551">
        <f>'Part VI-Revenues &amp; Expenses'!M20</f>
        <v>0</v>
      </c>
      <c r="N763" s="1551">
        <f>'Part VI-Revenues &amp; Expenses'!N20</f>
        <v>0</v>
      </c>
      <c r="O763" s="1551">
        <f>'Part VI-Revenues &amp; Expenses'!O20</f>
        <v>0</v>
      </c>
      <c r="P763" s="1406">
        <f>'Part VI-Revenues &amp; Expenses'!P20</f>
        <v>0</v>
      </c>
      <c r="Q763" s="1552" t="str">
        <f>'Part VI-Revenues &amp; Expenses'!Q20</f>
        <v/>
      </c>
      <c r="R763" s="1553" t="str">
        <f>'Part VI-Revenues &amp; Expenses'!R20</f>
        <v/>
      </c>
      <c r="S763" s="1552">
        <f>'Part VI-Revenues &amp; Expenses'!S20</f>
        <v>0</v>
      </c>
      <c r="T763" s="1553">
        <f>'Part VI-Revenues &amp; Expenses'!T20</f>
        <v>0</v>
      </c>
      <c r="U763" s="1477"/>
      <c r="V763" s="1477"/>
      <c r="W763" s="531" t="str">
        <f t="shared" si="3"/>
        <v/>
      </c>
      <c r="X763" s="531" t="str">
        <f t="shared" si="4"/>
        <v/>
      </c>
      <c r="Y763" s="531" t="str">
        <f t="shared" si="5"/>
        <v/>
      </c>
      <c r="Z763" s="531" t="str">
        <f t="shared" si="6"/>
        <v/>
      </c>
      <c r="AA763" s="531" t="str">
        <f t="shared" si="7"/>
        <v/>
      </c>
      <c r="AB763" s="531" t="str">
        <f t="shared" si="8"/>
        <v/>
      </c>
      <c r="AC763" s="531" t="str">
        <f t="shared" si="9"/>
        <v/>
      </c>
      <c r="AD763" s="531" t="str">
        <f t="shared" si="10"/>
        <v/>
      </c>
      <c r="AE763" s="531" t="str">
        <f t="shared" si="11"/>
        <v/>
      </c>
      <c r="AF763" s="531" t="str">
        <f t="shared" si="12"/>
        <v/>
      </c>
      <c r="AG763" s="531" t="str">
        <f t="shared" si="13"/>
        <v/>
      </c>
      <c r="AH763" s="531" t="str">
        <f t="shared" si="14"/>
        <v/>
      </c>
      <c r="AI763" s="531" t="str">
        <f t="shared" si="15"/>
        <v/>
      </c>
      <c r="AJ763" s="531" t="str">
        <f t="shared" si="16"/>
        <v/>
      </c>
      <c r="AK763" s="531" t="str">
        <f t="shared" si="17"/>
        <v/>
      </c>
      <c r="AL763" s="531" t="str">
        <f t="shared" si="18"/>
        <v/>
      </c>
      <c r="AM763" s="531" t="str">
        <f t="shared" si="19"/>
        <v/>
      </c>
      <c r="AN763" s="531" t="str">
        <f t="shared" si="20"/>
        <v/>
      </c>
      <c r="AO763" s="531" t="str">
        <f t="shared" si="21"/>
        <v/>
      </c>
      <c r="AP763" s="531" t="str">
        <f t="shared" si="22"/>
        <v/>
      </c>
      <c r="AQ763" s="531" t="str">
        <f t="shared" si="23"/>
        <v/>
      </c>
      <c r="AR763" s="531" t="str">
        <f t="shared" si="24"/>
        <v/>
      </c>
      <c r="AS763" s="531" t="str">
        <f t="shared" si="25"/>
        <v/>
      </c>
      <c r="AT763" s="531" t="str">
        <f t="shared" si="26"/>
        <v/>
      </c>
      <c r="AU763" s="531" t="str">
        <f t="shared" si="27"/>
        <v/>
      </c>
      <c r="AV763" s="531" t="str">
        <f t="shared" si="28"/>
        <v/>
      </c>
      <c r="AW763" s="531" t="str">
        <f t="shared" si="29"/>
        <v/>
      </c>
      <c r="AX763" s="531" t="str">
        <f t="shared" si="30"/>
        <v/>
      </c>
      <c r="AY763" s="531" t="str">
        <f t="shared" si="31"/>
        <v/>
      </c>
      <c r="AZ763" s="531" t="str">
        <f t="shared" si="32"/>
        <v/>
      </c>
      <c r="BA763" s="531" t="str">
        <f t="shared" si="33"/>
        <v/>
      </c>
      <c r="BB763" s="531" t="str">
        <f t="shared" si="34"/>
        <v/>
      </c>
      <c r="BC763" s="531" t="str">
        <f t="shared" si="35"/>
        <v/>
      </c>
      <c r="BD763" s="531" t="str">
        <f t="shared" si="36"/>
        <v/>
      </c>
      <c r="BE763" s="531" t="str">
        <f t="shared" si="37"/>
        <v/>
      </c>
      <c r="BF763" s="531" t="str">
        <f t="shared" si="38"/>
        <v/>
      </c>
      <c r="BG763" s="531" t="str">
        <f t="shared" si="39"/>
        <v/>
      </c>
      <c r="BH763" s="531" t="str">
        <f t="shared" si="40"/>
        <v/>
      </c>
      <c r="BI763" s="531" t="str">
        <f t="shared" si="41"/>
        <v/>
      </c>
      <c r="BJ763" s="531" t="str">
        <f t="shared" si="42"/>
        <v/>
      </c>
      <c r="BK763" s="531" t="str">
        <f t="shared" si="43"/>
        <v/>
      </c>
      <c r="BL763" s="531" t="str">
        <f t="shared" si="44"/>
        <v/>
      </c>
      <c r="BM763" s="531" t="str">
        <f t="shared" si="45"/>
        <v/>
      </c>
      <c r="BN763" s="531" t="str">
        <f t="shared" si="46"/>
        <v/>
      </c>
      <c r="BO763" s="531" t="str">
        <f t="shared" si="47"/>
        <v/>
      </c>
      <c r="BP763" s="531" t="str">
        <f t="shared" si="48"/>
        <v/>
      </c>
      <c r="BQ763" s="531" t="str">
        <f t="shared" si="49"/>
        <v/>
      </c>
      <c r="BR763" s="531" t="str">
        <f t="shared" si="50"/>
        <v/>
      </c>
      <c r="BS763" s="531" t="str">
        <f t="shared" si="51"/>
        <v/>
      </c>
      <c r="BT763" s="531" t="str">
        <f t="shared" si="52"/>
        <v/>
      </c>
      <c r="BU763" s="531" t="str">
        <f t="shared" si="53"/>
        <v/>
      </c>
      <c r="BV763" s="531" t="str">
        <f t="shared" si="54"/>
        <v/>
      </c>
      <c r="BW763" s="531" t="str">
        <f t="shared" si="55"/>
        <v/>
      </c>
      <c r="BX763" s="531" t="str">
        <f t="shared" si="56"/>
        <v/>
      </c>
      <c r="BY763" s="531" t="str">
        <f t="shared" si="57"/>
        <v/>
      </c>
      <c r="BZ763" s="531" t="str">
        <f t="shared" si="58"/>
        <v/>
      </c>
      <c r="CA763" s="531" t="str">
        <f t="shared" si="59"/>
        <v/>
      </c>
      <c r="CB763" s="531" t="str">
        <f t="shared" si="60"/>
        <v/>
      </c>
      <c r="CC763" s="531" t="str">
        <f t="shared" si="61"/>
        <v/>
      </c>
      <c r="CD763" s="531" t="str">
        <f t="shared" si="62"/>
        <v/>
      </c>
      <c r="CE763" s="531" t="str">
        <f t="shared" si="63"/>
        <v/>
      </c>
      <c r="CF763" s="531" t="str">
        <f t="shared" si="64"/>
        <v/>
      </c>
      <c r="CG763" s="531" t="str">
        <f t="shared" si="65"/>
        <v/>
      </c>
      <c r="CH763" s="531" t="str">
        <f t="shared" si="66"/>
        <v/>
      </c>
      <c r="CI763" s="531" t="str">
        <f t="shared" si="67"/>
        <v/>
      </c>
      <c r="CJ763" s="531" t="str">
        <f t="shared" si="68"/>
        <v/>
      </c>
      <c r="CK763" s="531" t="str">
        <f t="shared" si="69"/>
        <v/>
      </c>
      <c r="CL763" s="531" t="str">
        <f t="shared" si="70"/>
        <v/>
      </c>
      <c r="CM763" s="531" t="str">
        <f t="shared" si="71"/>
        <v/>
      </c>
      <c r="CN763" s="531" t="str">
        <f t="shared" si="72"/>
        <v/>
      </c>
      <c r="CO763" s="531" t="str">
        <f t="shared" si="73"/>
        <v/>
      </c>
      <c r="CP763" s="531" t="str">
        <f t="shared" si="74"/>
        <v/>
      </c>
      <c r="CQ763" s="531" t="str">
        <f t="shared" si="75"/>
        <v/>
      </c>
      <c r="CR763" s="531" t="str">
        <f t="shared" si="76"/>
        <v/>
      </c>
      <c r="CS763" s="531" t="str">
        <f t="shared" si="77"/>
        <v/>
      </c>
      <c r="CT763" s="531" t="str">
        <f t="shared" si="78"/>
        <v/>
      </c>
      <c r="CU763" s="531" t="str">
        <f t="shared" si="79"/>
        <v/>
      </c>
      <c r="CV763" s="531" t="str">
        <f t="shared" si="80"/>
        <v/>
      </c>
      <c r="CW763" s="531" t="str">
        <f t="shared" si="81"/>
        <v/>
      </c>
      <c r="CX763" s="531" t="str">
        <f t="shared" si="82"/>
        <v/>
      </c>
      <c r="CY763" s="531" t="str">
        <f t="shared" si="83"/>
        <v/>
      </c>
      <c r="CZ763" s="531" t="str">
        <f t="shared" si="84"/>
        <v/>
      </c>
      <c r="DA763" s="531" t="str">
        <f t="shared" si="85"/>
        <v/>
      </c>
      <c r="DB763" s="531" t="str">
        <f t="shared" si="86"/>
        <v/>
      </c>
      <c r="DC763" s="531" t="str">
        <f t="shared" si="87"/>
        <v/>
      </c>
      <c r="DD763" s="531" t="str">
        <f t="shared" si="88"/>
        <v/>
      </c>
      <c r="DE763" s="531" t="str">
        <f t="shared" si="89"/>
        <v/>
      </c>
      <c r="DF763" s="531" t="str">
        <f t="shared" si="90"/>
        <v/>
      </c>
      <c r="DG763" s="531" t="str">
        <f t="shared" si="91"/>
        <v/>
      </c>
      <c r="DH763" s="531" t="str">
        <f t="shared" si="92"/>
        <v/>
      </c>
      <c r="DI763" s="531" t="str">
        <f t="shared" si="93"/>
        <v/>
      </c>
      <c r="DJ763" s="531" t="str">
        <f t="shared" si="94"/>
        <v/>
      </c>
      <c r="DK763" s="531" t="str">
        <f t="shared" si="95"/>
        <v/>
      </c>
      <c r="DL763" s="531" t="str">
        <f t="shared" si="96"/>
        <v/>
      </c>
      <c r="DM763" s="531" t="str">
        <f t="shared" si="97"/>
        <v/>
      </c>
      <c r="DN763" s="531" t="str">
        <f t="shared" si="98"/>
        <v/>
      </c>
      <c r="DO763" s="531" t="str">
        <f t="shared" si="99"/>
        <v/>
      </c>
      <c r="DP763" s="531" t="str">
        <f t="shared" si="100"/>
        <v/>
      </c>
      <c r="DQ763" s="531" t="str">
        <f t="shared" si="101"/>
        <v/>
      </c>
      <c r="DR763" s="531" t="str">
        <f t="shared" si="102"/>
        <v/>
      </c>
      <c r="DS763" s="531" t="str">
        <f t="shared" si="103"/>
        <v/>
      </c>
      <c r="DT763" s="531" t="str">
        <f t="shared" si="104"/>
        <v/>
      </c>
      <c r="DU763" s="531" t="str">
        <f t="shared" si="105"/>
        <v/>
      </c>
      <c r="DV763" s="531" t="str">
        <f t="shared" si="106"/>
        <v/>
      </c>
      <c r="DW763" s="531" t="str">
        <f t="shared" si="107"/>
        <v/>
      </c>
      <c r="DX763" s="531" t="str">
        <f t="shared" si="108"/>
        <v/>
      </c>
      <c r="DY763" s="531" t="str">
        <f t="shared" si="109"/>
        <v/>
      </c>
      <c r="DZ763" s="531" t="str">
        <f t="shared" si="110"/>
        <v/>
      </c>
      <c r="EA763" s="531" t="str">
        <f t="shared" si="111"/>
        <v/>
      </c>
      <c r="EB763" s="531" t="str">
        <f t="shared" si="112"/>
        <v/>
      </c>
      <c r="EC763" s="531" t="str">
        <f t="shared" si="113"/>
        <v/>
      </c>
      <c r="ED763" s="531" t="str">
        <f t="shared" si="114"/>
        <v/>
      </c>
      <c r="EE763" s="531" t="str">
        <f t="shared" si="115"/>
        <v/>
      </c>
      <c r="EF763" s="531" t="str">
        <f t="shared" si="116"/>
        <v/>
      </c>
      <c r="EG763" s="531" t="str">
        <f t="shared" si="117"/>
        <v/>
      </c>
      <c r="EH763" s="531" t="str">
        <f t="shared" si="118"/>
        <v/>
      </c>
      <c r="EI763" s="531" t="str">
        <f t="shared" si="119"/>
        <v/>
      </c>
      <c r="EJ763" s="531" t="str">
        <f t="shared" si="120"/>
        <v/>
      </c>
      <c r="EK763" s="531" t="str">
        <f t="shared" si="121"/>
        <v/>
      </c>
      <c r="EL763" s="531" t="str">
        <f t="shared" si="122"/>
        <v/>
      </c>
      <c r="EM763" s="531" t="str">
        <f t="shared" si="123"/>
        <v/>
      </c>
      <c r="EN763" s="531" t="str">
        <f t="shared" si="124"/>
        <v/>
      </c>
      <c r="EO763" s="531" t="str">
        <f t="shared" si="125"/>
        <v/>
      </c>
      <c r="EP763" s="531" t="str">
        <f t="shared" si="126"/>
        <v/>
      </c>
      <c r="EQ763" s="531" t="str">
        <f t="shared" si="127"/>
        <v/>
      </c>
      <c r="ER763" s="531" t="str">
        <f t="shared" si="128"/>
        <v/>
      </c>
      <c r="ES763" s="531" t="str">
        <f t="shared" si="129"/>
        <v/>
      </c>
      <c r="ET763" s="531" t="str">
        <f t="shared" si="130"/>
        <v/>
      </c>
      <c r="EU763" s="531" t="str">
        <f t="shared" si="131"/>
        <v/>
      </c>
      <c r="EV763" s="531" t="str">
        <f t="shared" si="132"/>
        <v/>
      </c>
      <c r="EW763" s="1554" t="str">
        <f t="shared" si="133"/>
        <v/>
      </c>
      <c r="EX763" s="1554" t="str">
        <f t="shared" si="134"/>
        <v/>
      </c>
      <c r="EY763" s="1554" t="str">
        <f t="shared" si="135"/>
        <v/>
      </c>
      <c r="EZ763" s="1554" t="str">
        <f t="shared" si="136"/>
        <v/>
      </c>
      <c r="FA763" s="1554" t="str">
        <f t="shared" si="137"/>
        <v/>
      </c>
      <c r="FB763" s="1554" t="str">
        <f t="shared" si="138"/>
        <v/>
      </c>
      <c r="FC763" s="1554" t="str">
        <f t="shared" si="139"/>
        <v/>
      </c>
      <c r="FD763" s="1554" t="str">
        <f t="shared" si="140"/>
        <v/>
      </c>
      <c r="FE763" s="1554" t="str">
        <f t="shared" si="141"/>
        <v/>
      </c>
      <c r="FF763" s="1554" t="str">
        <f t="shared" si="142"/>
        <v/>
      </c>
      <c r="FG763" s="1554" t="str">
        <f t="shared" si="143"/>
        <v/>
      </c>
      <c r="FH763" s="1554" t="str">
        <f t="shared" si="144"/>
        <v/>
      </c>
      <c r="FI763" s="1554" t="str">
        <f t="shared" si="145"/>
        <v/>
      </c>
      <c r="FJ763" s="1554" t="str">
        <f t="shared" si="146"/>
        <v/>
      </c>
      <c r="FK763" s="1554" t="str">
        <f t="shared" si="147"/>
        <v/>
      </c>
      <c r="FL763" s="1554" t="str">
        <f t="shared" si="148"/>
        <v/>
      </c>
      <c r="FM763" s="1554" t="str">
        <f t="shared" si="149"/>
        <v/>
      </c>
      <c r="FN763" s="1554" t="str">
        <f t="shared" si="150"/>
        <v/>
      </c>
      <c r="FO763" s="1554" t="str">
        <f t="shared" si="151"/>
        <v/>
      </c>
      <c r="FP763" s="1554" t="str">
        <f t="shared" si="152"/>
        <v/>
      </c>
      <c r="FQ763" s="1554" t="str">
        <f t="shared" si="153"/>
        <v/>
      </c>
      <c r="FR763" s="1554" t="str">
        <f t="shared" si="154"/>
        <v/>
      </c>
      <c r="FS763" s="1554" t="str">
        <f t="shared" si="155"/>
        <v/>
      </c>
      <c r="FT763" s="1554" t="str">
        <f t="shared" si="156"/>
        <v/>
      </c>
      <c r="FU763" s="1554" t="str">
        <f t="shared" si="157"/>
        <v/>
      </c>
      <c r="FV763" s="1554" t="str">
        <f t="shared" si="158"/>
        <v/>
      </c>
      <c r="FW763" s="1554" t="str">
        <f t="shared" si="159"/>
        <v/>
      </c>
      <c r="FX763" s="1554" t="str">
        <f t="shared" si="160"/>
        <v/>
      </c>
      <c r="FY763" s="1554" t="str">
        <f t="shared" si="161"/>
        <v/>
      </c>
      <c r="FZ763" s="1554" t="str">
        <f t="shared" si="162"/>
        <v/>
      </c>
      <c r="GA763" s="1554" t="str">
        <f t="shared" si="163"/>
        <v/>
      </c>
      <c r="GB763" s="1554" t="str">
        <f t="shared" si="164"/>
        <v/>
      </c>
      <c r="GC763" s="1554" t="str">
        <f t="shared" si="165"/>
        <v/>
      </c>
      <c r="GD763" s="1554" t="str">
        <f t="shared" si="166"/>
        <v/>
      </c>
      <c r="GE763" s="1554" t="str">
        <f t="shared" si="167"/>
        <v/>
      </c>
      <c r="GF763" s="1554" t="str">
        <f t="shared" si="168"/>
        <v/>
      </c>
      <c r="GG763" s="1554" t="str">
        <f t="shared" si="169"/>
        <v/>
      </c>
      <c r="GH763" s="1554" t="str">
        <f t="shared" si="170"/>
        <v/>
      </c>
      <c r="GI763" s="1554" t="str">
        <f t="shared" si="171"/>
        <v/>
      </c>
      <c r="GJ763" s="1554" t="str">
        <f t="shared" si="172"/>
        <v/>
      </c>
      <c r="GK763" s="1554" t="str">
        <f t="shared" si="173"/>
        <v/>
      </c>
      <c r="GL763" s="1554" t="str">
        <f t="shared" si="174"/>
        <v/>
      </c>
      <c r="GM763" s="1554" t="str">
        <f t="shared" si="175"/>
        <v/>
      </c>
      <c r="GN763" s="1554" t="str">
        <f t="shared" si="176"/>
        <v/>
      </c>
      <c r="GO763" s="1554" t="str">
        <f t="shared" si="177"/>
        <v/>
      </c>
      <c r="GP763" s="1554" t="str">
        <f t="shared" si="178"/>
        <v/>
      </c>
      <c r="GQ763" s="1554" t="str">
        <f t="shared" si="179"/>
        <v/>
      </c>
      <c r="GR763" s="1554" t="str">
        <f t="shared" si="180"/>
        <v/>
      </c>
      <c r="GS763" s="1554" t="str">
        <f t="shared" si="181"/>
        <v/>
      </c>
      <c r="GT763" s="1554" t="str">
        <f t="shared" si="182"/>
        <v/>
      </c>
      <c r="GU763" s="1554" t="str">
        <f t="shared" si="183"/>
        <v/>
      </c>
      <c r="GV763" s="1554" t="str">
        <f t="shared" si="184"/>
        <v/>
      </c>
      <c r="GW763" s="1554" t="str">
        <f t="shared" si="185"/>
        <v/>
      </c>
      <c r="GX763" s="1554" t="str">
        <f t="shared" si="186"/>
        <v/>
      </c>
      <c r="GY763" s="1554" t="str">
        <f t="shared" si="187"/>
        <v/>
      </c>
      <c r="GZ763" s="1554" t="str">
        <f t="shared" si="188"/>
        <v/>
      </c>
      <c r="HA763" s="1554" t="str">
        <f t="shared" si="189"/>
        <v/>
      </c>
      <c r="HB763" s="1554" t="str">
        <f t="shared" si="190"/>
        <v/>
      </c>
      <c r="HC763" s="1554" t="str">
        <f t="shared" si="191"/>
        <v/>
      </c>
      <c r="HD763" s="1554" t="str">
        <f t="shared" si="192"/>
        <v/>
      </c>
      <c r="HE763" s="1554" t="str">
        <f t="shared" si="193"/>
        <v/>
      </c>
      <c r="HF763" s="1554" t="str">
        <f t="shared" si="194"/>
        <v/>
      </c>
      <c r="HG763" s="1554" t="str">
        <f t="shared" si="195"/>
        <v/>
      </c>
      <c r="HH763" s="1554" t="str">
        <f t="shared" si="196"/>
        <v/>
      </c>
      <c r="HI763" s="1554" t="str">
        <f t="shared" si="197"/>
        <v/>
      </c>
      <c r="HJ763" s="1554" t="str">
        <f t="shared" si="198"/>
        <v/>
      </c>
      <c r="HK763" s="1554" t="str">
        <f t="shared" si="199"/>
        <v/>
      </c>
      <c r="HL763" s="1554" t="str">
        <f t="shared" si="200"/>
        <v/>
      </c>
      <c r="HM763" s="1554" t="str">
        <f t="shared" si="201"/>
        <v/>
      </c>
      <c r="HN763" s="1554" t="str">
        <f t="shared" si="202"/>
        <v/>
      </c>
      <c r="HO763" s="1554" t="str">
        <f t="shared" si="203"/>
        <v/>
      </c>
      <c r="HP763" s="1554" t="str">
        <f t="shared" si="204"/>
        <v/>
      </c>
      <c r="HQ763" s="1554" t="str">
        <f t="shared" si="205"/>
        <v/>
      </c>
      <c r="HR763" s="1554" t="str">
        <f t="shared" si="206"/>
        <v/>
      </c>
      <c r="HS763" s="1554" t="str">
        <f t="shared" si="207"/>
        <v/>
      </c>
      <c r="HT763" s="1554" t="str">
        <f t="shared" si="208"/>
        <v/>
      </c>
      <c r="HU763" s="1554" t="str">
        <f t="shared" si="209"/>
        <v/>
      </c>
      <c r="HV763" s="1554" t="str">
        <f t="shared" si="210"/>
        <v/>
      </c>
      <c r="HW763" s="1554" t="str">
        <f t="shared" si="211"/>
        <v/>
      </c>
      <c r="HX763" s="1554" t="str">
        <f t="shared" si="212"/>
        <v/>
      </c>
      <c r="HY763" s="1554" t="str">
        <f t="shared" si="213"/>
        <v/>
      </c>
      <c r="HZ763" s="1554" t="str">
        <f t="shared" si="214"/>
        <v/>
      </c>
      <c r="IA763" s="1554" t="str">
        <f t="shared" si="215"/>
        <v/>
      </c>
      <c r="IB763" s="1554" t="str">
        <f t="shared" si="216"/>
        <v/>
      </c>
      <c r="IC763" s="1554" t="str">
        <f t="shared" si="217"/>
        <v/>
      </c>
      <c r="ID763" s="31" t="str">
        <f t="shared" si="218"/>
        <v/>
      </c>
      <c r="IE763" s="31" t="str">
        <f t="shared" si="219"/>
        <v/>
      </c>
      <c r="IF763" s="31" t="str">
        <f t="shared" si="220"/>
        <v/>
      </c>
      <c r="IG763" s="31" t="str">
        <f t="shared" si="221"/>
        <v/>
      </c>
      <c r="IH763" s="31" t="str">
        <f t="shared" si="222"/>
        <v/>
      </c>
      <c r="II763" s="531" t="str">
        <f t="shared" si="223"/>
        <v/>
      </c>
      <c r="IJ763" s="531" t="str">
        <f t="shared" si="224"/>
        <v/>
      </c>
      <c r="IK763" s="531" t="str">
        <f t="shared" si="225"/>
        <v/>
      </c>
      <c r="IL763" s="531" t="str">
        <f t="shared" si="226"/>
        <v/>
      </c>
      <c r="IM763" s="531" t="str">
        <f t="shared" si="227"/>
        <v/>
      </c>
      <c r="IN763" s="531" t="str">
        <f t="shared" si="228"/>
        <v/>
      </c>
      <c r="IO763" s="531" t="str">
        <f t="shared" si="229"/>
        <v/>
      </c>
      <c r="IP763" s="531" t="str">
        <f t="shared" si="230"/>
        <v/>
      </c>
      <c r="IQ763" s="531" t="str">
        <f t="shared" si="231"/>
        <v/>
      </c>
      <c r="IR763" s="531" t="str">
        <f t="shared" si="232"/>
        <v/>
      </c>
      <c r="IS763" s="531" t="str">
        <f t="shared" si="233"/>
        <v/>
      </c>
      <c r="IT763" s="531" t="str">
        <f t="shared" si="234"/>
        <v/>
      </c>
      <c r="IU763" s="531" t="str">
        <f t="shared" si="235"/>
        <v/>
      </c>
      <c r="IV763" s="531" t="str">
        <f t="shared" si="236"/>
        <v/>
      </c>
      <c r="IW763" s="531" t="str">
        <f t="shared" si="237"/>
        <v/>
      </c>
      <c r="IX763" s="531" t="str">
        <f t="shared" si="238"/>
        <v/>
      </c>
      <c r="IY763" s="531" t="str">
        <f t="shared" si="239"/>
        <v/>
      </c>
      <c r="IZ763" s="531" t="str">
        <f t="shared" si="240"/>
        <v/>
      </c>
      <c r="JA763" s="531" t="str">
        <f t="shared" si="241"/>
        <v/>
      </c>
      <c r="JB763" s="531" t="str">
        <f t="shared" si="242"/>
        <v/>
      </c>
      <c r="JC763" s="615">
        <f t="shared" si="243"/>
        <v>0</v>
      </c>
      <c r="JD763" s="615">
        <f t="shared" si="244"/>
        <v>0</v>
      </c>
      <c r="JE763" s="615">
        <f t="shared" si="245"/>
        <v>0</v>
      </c>
      <c r="JF763" s="615">
        <f t="shared" si="246"/>
        <v>0</v>
      </c>
      <c r="JG763" s="615">
        <f t="shared" si="247"/>
        <v>0</v>
      </c>
      <c r="JH763" s="615">
        <f t="shared" si="248"/>
        <v>0</v>
      </c>
      <c r="JI763" s="615">
        <f t="shared" si="249"/>
        <v>0</v>
      </c>
      <c r="JJ763" s="615">
        <f t="shared" si="250"/>
        <v>0</v>
      </c>
      <c r="JK763" s="615">
        <f t="shared" si="251"/>
        <v>0</v>
      </c>
      <c r="JL763" s="615">
        <f t="shared" si="252"/>
        <v>0</v>
      </c>
      <c r="JM763" s="615">
        <f t="shared" si="253"/>
        <v>0</v>
      </c>
      <c r="JN763" s="615">
        <f t="shared" si="254"/>
        <v>0</v>
      </c>
      <c r="JO763" s="615">
        <f t="shared" si="255"/>
        <v>0</v>
      </c>
      <c r="JP763" s="615">
        <f t="shared" si="256"/>
        <v>0</v>
      </c>
      <c r="JQ763" s="615">
        <f t="shared" si="257"/>
        <v>0</v>
      </c>
    </row>
    <row r="764" spans="1:277" ht="12" customHeight="1">
      <c r="A764" s="1190" t="str">
        <f t="shared" si="0"/>
        <v/>
      </c>
      <c r="B764" s="1545" t="str">
        <f>'Part VI-Revenues &amp; Expenses'!B21</f>
        <v>&lt;&lt;Select&gt;&gt;</v>
      </c>
      <c r="C764" s="1546">
        <f>'Part VI-Revenues &amp; Expenses'!C21</f>
        <v>0</v>
      </c>
      <c r="D764" s="1547">
        <f>'Part VI-Revenues &amp; Expenses'!D21</f>
        <v>0</v>
      </c>
      <c r="E764" s="1548">
        <f>'Part VI-Revenues &amp; Expenses'!E21</f>
        <v>0</v>
      </c>
      <c r="F764" s="1548">
        <f>'Part VI-Revenues &amp; Expenses'!F21</f>
        <v>0</v>
      </c>
      <c r="G764" s="1548">
        <f>'Part VI-Revenues &amp; Expenses'!G21</f>
        <v>0</v>
      </c>
      <c r="H764" s="1548">
        <f>'Part VI-Revenues &amp; Expenses'!H21</f>
        <v>0</v>
      </c>
      <c r="I764" s="1548">
        <f>'Part VI-Revenues &amp; Expenses'!I21</f>
        <v>0</v>
      </c>
      <c r="J764" s="1549">
        <f>'Part VI-Revenues &amp; Expenses'!J21</f>
        <v>0</v>
      </c>
      <c r="K764" s="1550">
        <f t="shared" si="1"/>
        <v>0</v>
      </c>
      <c r="L764" s="1550">
        <f t="shared" si="2"/>
        <v>0</v>
      </c>
      <c r="M764" s="1551">
        <f>'Part VI-Revenues &amp; Expenses'!M21</f>
        <v>0</v>
      </c>
      <c r="N764" s="1551">
        <f>'Part VI-Revenues &amp; Expenses'!N21</f>
        <v>0</v>
      </c>
      <c r="O764" s="1551">
        <f>'Part VI-Revenues &amp; Expenses'!O21</f>
        <v>0</v>
      </c>
      <c r="P764" s="1406">
        <f>'Part VI-Revenues &amp; Expenses'!P21</f>
        <v>0</v>
      </c>
      <c r="Q764" s="1552" t="str">
        <f>'Part VI-Revenues &amp; Expenses'!Q21</f>
        <v/>
      </c>
      <c r="R764" s="1553" t="str">
        <f>'Part VI-Revenues &amp; Expenses'!R21</f>
        <v/>
      </c>
      <c r="S764" s="1552">
        <f>'Part VI-Revenues &amp; Expenses'!S21</f>
        <v>0</v>
      </c>
      <c r="T764" s="1553">
        <f>'Part VI-Revenues &amp; Expenses'!T21</f>
        <v>0</v>
      </c>
      <c r="U764" s="1477"/>
      <c r="V764" s="1477"/>
      <c r="W764" s="531" t="str">
        <f t="shared" si="3"/>
        <v/>
      </c>
      <c r="X764" s="531" t="str">
        <f t="shared" si="4"/>
        <v/>
      </c>
      <c r="Y764" s="531" t="str">
        <f t="shared" si="5"/>
        <v/>
      </c>
      <c r="Z764" s="531" t="str">
        <f t="shared" si="6"/>
        <v/>
      </c>
      <c r="AA764" s="531" t="str">
        <f t="shared" si="7"/>
        <v/>
      </c>
      <c r="AB764" s="531" t="str">
        <f t="shared" si="8"/>
        <v/>
      </c>
      <c r="AC764" s="531" t="str">
        <f t="shared" si="9"/>
        <v/>
      </c>
      <c r="AD764" s="531" t="str">
        <f t="shared" si="10"/>
        <v/>
      </c>
      <c r="AE764" s="531" t="str">
        <f t="shared" si="11"/>
        <v/>
      </c>
      <c r="AF764" s="531" t="str">
        <f t="shared" si="12"/>
        <v/>
      </c>
      <c r="AG764" s="531" t="str">
        <f t="shared" si="13"/>
        <v/>
      </c>
      <c r="AH764" s="531" t="str">
        <f t="shared" si="14"/>
        <v/>
      </c>
      <c r="AI764" s="531" t="str">
        <f t="shared" si="15"/>
        <v/>
      </c>
      <c r="AJ764" s="531" t="str">
        <f t="shared" si="16"/>
        <v/>
      </c>
      <c r="AK764" s="531" t="str">
        <f t="shared" si="17"/>
        <v/>
      </c>
      <c r="AL764" s="531" t="str">
        <f t="shared" si="18"/>
        <v/>
      </c>
      <c r="AM764" s="531" t="str">
        <f t="shared" si="19"/>
        <v/>
      </c>
      <c r="AN764" s="531" t="str">
        <f t="shared" si="20"/>
        <v/>
      </c>
      <c r="AO764" s="531" t="str">
        <f t="shared" si="21"/>
        <v/>
      </c>
      <c r="AP764" s="531" t="str">
        <f t="shared" si="22"/>
        <v/>
      </c>
      <c r="AQ764" s="531" t="str">
        <f t="shared" si="23"/>
        <v/>
      </c>
      <c r="AR764" s="531" t="str">
        <f t="shared" si="24"/>
        <v/>
      </c>
      <c r="AS764" s="531" t="str">
        <f t="shared" si="25"/>
        <v/>
      </c>
      <c r="AT764" s="531" t="str">
        <f t="shared" si="26"/>
        <v/>
      </c>
      <c r="AU764" s="531" t="str">
        <f t="shared" si="27"/>
        <v/>
      </c>
      <c r="AV764" s="531" t="str">
        <f t="shared" si="28"/>
        <v/>
      </c>
      <c r="AW764" s="531" t="str">
        <f t="shared" si="29"/>
        <v/>
      </c>
      <c r="AX764" s="531" t="str">
        <f t="shared" si="30"/>
        <v/>
      </c>
      <c r="AY764" s="531" t="str">
        <f t="shared" si="31"/>
        <v/>
      </c>
      <c r="AZ764" s="531" t="str">
        <f t="shared" si="32"/>
        <v/>
      </c>
      <c r="BA764" s="531" t="str">
        <f t="shared" si="33"/>
        <v/>
      </c>
      <c r="BB764" s="531" t="str">
        <f t="shared" si="34"/>
        <v/>
      </c>
      <c r="BC764" s="531" t="str">
        <f t="shared" si="35"/>
        <v/>
      </c>
      <c r="BD764" s="531" t="str">
        <f t="shared" si="36"/>
        <v/>
      </c>
      <c r="BE764" s="531" t="str">
        <f t="shared" si="37"/>
        <v/>
      </c>
      <c r="BF764" s="531" t="str">
        <f t="shared" si="38"/>
        <v/>
      </c>
      <c r="BG764" s="531" t="str">
        <f t="shared" si="39"/>
        <v/>
      </c>
      <c r="BH764" s="531" t="str">
        <f t="shared" si="40"/>
        <v/>
      </c>
      <c r="BI764" s="531" t="str">
        <f t="shared" si="41"/>
        <v/>
      </c>
      <c r="BJ764" s="531" t="str">
        <f t="shared" si="42"/>
        <v/>
      </c>
      <c r="BK764" s="531" t="str">
        <f t="shared" si="43"/>
        <v/>
      </c>
      <c r="BL764" s="531" t="str">
        <f t="shared" si="44"/>
        <v/>
      </c>
      <c r="BM764" s="531" t="str">
        <f t="shared" si="45"/>
        <v/>
      </c>
      <c r="BN764" s="531" t="str">
        <f t="shared" si="46"/>
        <v/>
      </c>
      <c r="BO764" s="531" t="str">
        <f t="shared" si="47"/>
        <v/>
      </c>
      <c r="BP764" s="531" t="str">
        <f t="shared" si="48"/>
        <v/>
      </c>
      <c r="BQ764" s="531" t="str">
        <f t="shared" si="49"/>
        <v/>
      </c>
      <c r="BR764" s="531" t="str">
        <f t="shared" si="50"/>
        <v/>
      </c>
      <c r="BS764" s="531" t="str">
        <f t="shared" si="51"/>
        <v/>
      </c>
      <c r="BT764" s="531" t="str">
        <f t="shared" si="52"/>
        <v/>
      </c>
      <c r="BU764" s="531" t="str">
        <f t="shared" si="53"/>
        <v/>
      </c>
      <c r="BV764" s="531" t="str">
        <f t="shared" si="54"/>
        <v/>
      </c>
      <c r="BW764" s="531" t="str">
        <f t="shared" si="55"/>
        <v/>
      </c>
      <c r="BX764" s="531" t="str">
        <f t="shared" si="56"/>
        <v/>
      </c>
      <c r="BY764" s="531" t="str">
        <f t="shared" si="57"/>
        <v/>
      </c>
      <c r="BZ764" s="531" t="str">
        <f t="shared" si="58"/>
        <v/>
      </c>
      <c r="CA764" s="531" t="str">
        <f t="shared" si="59"/>
        <v/>
      </c>
      <c r="CB764" s="531" t="str">
        <f t="shared" si="60"/>
        <v/>
      </c>
      <c r="CC764" s="531" t="str">
        <f t="shared" si="61"/>
        <v/>
      </c>
      <c r="CD764" s="531" t="str">
        <f t="shared" si="62"/>
        <v/>
      </c>
      <c r="CE764" s="531" t="str">
        <f t="shared" si="63"/>
        <v/>
      </c>
      <c r="CF764" s="531" t="str">
        <f t="shared" si="64"/>
        <v/>
      </c>
      <c r="CG764" s="531" t="str">
        <f t="shared" si="65"/>
        <v/>
      </c>
      <c r="CH764" s="531" t="str">
        <f t="shared" si="66"/>
        <v/>
      </c>
      <c r="CI764" s="531" t="str">
        <f t="shared" si="67"/>
        <v/>
      </c>
      <c r="CJ764" s="531" t="str">
        <f t="shared" si="68"/>
        <v/>
      </c>
      <c r="CK764" s="531" t="str">
        <f t="shared" si="69"/>
        <v/>
      </c>
      <c r="CL764" s="531" t="str">
        <f t="shared" si="70"/>
        <v/>
      </c>
      <c r="CM764" s="531" t="str">
        <f t="shared" si="71"/>
        <v/>
      </c>
      <c r="CN764" s="531" t="str">
        <f t="shared" si="72"/>
        <v/>
      </c>
      <c r="CO764" s="531" t="str">
        <f t="shared" si="73"/>
        <v/>
      </c>
      <c r="CP764" s="531" t="str">
        <f t="shared" si="74"/>
        <v/>
      </c>
      <c r="CQ764" s="531" t="str">
        <f t="shared" si="75"/>
        <v/>
      </c>
      <c r="CR764" s="531" t="str">
        <f t="shared" si="76"/>
        <v/>
      </c>
      <c r="CS764" s="531" t="str">
        <f t="shared" si="77"/>
        <v/>
      </c>
      <c r="CT764" s="531" t="str">
        <f t="shared" si="78"/>
        <v/>
      </c>
      <c r="CU764" s="531" t="str">
        <f t="shared" si="79"/>
        <v/>
      </c>
      <c r="CV764" s="531" t="str">
        <f t="shared" si="80"/>
        <v/>
      </c>
      <c r="CW764" s="531" t="str">
        <f t="shared" si="81"/>
        <v/>
      </c>
      <c r="CX764" s="531" t="str">
        <f t="shared" si="82"/>
        <v/>
      </c>
      <c r="CY764" s="531" t="str">
        <f t="shared" si="83"/>
        <v/>
      </c>
      <c r="CZ764" s="531" t="str">
        <f t="shared" si="84"/>
        <v/>
      </c>
      <c r="DA764" s="531" t="str">
        <f t="shared" si="85"/>
        <v/>
      </c>
      <c r="DB764" s="531" t="str">
        <f t="shared" si="86"/>
        <v/>
      </c>
      <c r="DC764" s="531" t="str">
        <f t="shared" si="87"/>
        <v/>
      </c>
      <c r="DD764" s="531" t="str">
        <f t="shared" si="88"/>
        <v/>
      </c>
      <c r="DE764" s="531" t="str">
        <f t="shared" si="89"/>
        <v/>
      </c>
      <c r="DF764" s="531" t="str">
        <f t="shared" si="90"/>
        <v/>
      </c>
      <c r="DG764" s="531" t="str">
        <f t="shared" si="91"/>
        <v/>
      </c>
      <c r="DH764" s="531" t="str">
        <f t="shared" si="92"/>
        <v/>
      </c>
      <c r="DI764" s="531" t="str">
        <f t="shared" si="93"/>
        <v/>
      </c>
      <c r="DJ764" s="531" t="str">
        <f t="shared" si="94"/>
        <v/>
      </c>
      <c r="DK764" s="531" t="str">
        <f t="shared" si="95"/>
        <v/>
      </c>
      <c r="DL764" s="531" t="str">
        <f t="shared" si="96"/>
        <v/>
      </c>
      <c r="DM764" s="531" t="str">
        <f t="shared" si="97"/>
        <v/>
      </c>
      <c r="DN764" s="531" t="str">
        <f t="shared" si="98"/>
        <v/>
      </c>
      <c r="DO764" s="531" t="str">
        <f t="shared" si="99"/>
        <v/>
      </c>
      <c r="DP764" s="531" t="str">
        <f t="shared" si="100"/>
        <v/>
      </c>
      <c r="DQ764" s="531" t="str">
        <f t="shared" si="101"/>
        <v/>
      </c>
      <c r="DR764" s="531" t="str">
        <f t="shared" si="102"/>
        <v/>
      </c>
      <c r="DS764" s="531" t="str">
        <f t="shared" si="103"/>
        <v/>
      </c>
      <c r="DT764" s="531" t="str">
        <f t="shared" si="104"/>
        <v/>
      </c>
      <c r="DU764" s="531" t="str">
        <f t="shared" si="105"/>
        <v/>
      </c>
      <c r="DV764" s="531" t="str">
        <f t="shared" si="106"/>
        <v/>
      </c>
      <c r="DW764" s="531" t="str">
        <f t="shared" si="107"/>
        <v/>
      </c>
      <c r="DX764" s="531" t="str">
        <f t="shared" si="108"/>
        <v/>
      </c>
      <c r="DY764" s="531" t="str">
        <f t="shared" si="109"/>
        <v/>
      </c>
      <c r="DZ764" s="531" t="str">
        <f t="shared" si="110"/>
        <v/>
      </c>
      <c r="EA764" s="531" t="str">
        <f t="shared" si="111"/>
        <v/>
      </c>
      <c r="EB764" s="531" t="str">
        <f t="shared" si="112"/>
        <v/>
      </c>
      <c r="EC764" s="531" t="str">
        <f t="shared" si="113"/>
        <v/>
      </c>
      <c r="ED764" s="531" t="str">
        <f t="shared" si="114"/>
        <v/>
      </c>
      <c r="EE764" s="531" t="str">
        <f t="shared" si="115"/>
        <v/>
      </c>
      <c r="EF764" s="531" t="str">
        <f t="shared" si="116"/>
        <v/>
      </c>
      <c r="EG764" s="531" t="str">
        <f t="shared" si="117"/>
        <v/>
      </c>
      <c r="EH764" s="531" t="str">
        <f t="shared" si="118"/>
        <v/>
      </c>
      <c r="EI764" s="531" t="str">
        <f t="shared" si="119"/>
        <v/>
      </c>
      <c r="EJ764" s="531" t="str">
        <f t="shared" si="120"/>
        <v/>
      </c>
      <c r="EK764" s="531" t="str">
        <f t="shared" si="121"/>
        <v/>
      </c>
      <c r="EL764" s="531" t="str">
        <f t="shared" si="122"/>
        <v/>
      </c>
      <c r="EM764" s="531" t="str">
        <f t="shared" si="123"/>
        <v/>
      </c>
      <c r="EN764" s="531" t="str">
        <f t="shared" si="124"/>
        <v/>
      </c>
      <c r="EO764" s="531" t="str">
        <f t="shared" si="125"/>
        <v/>
      </c>
      <c r="EP764" s="531" t="str">
        <f t="shared" si="126"/>
        <v/>
      </c>
      <c r="EQ764" s="531" t="str">
        <f t="shared" si="127"/>
        <v/>
      </c>
      <c r="ER764" s="531" t="str">
        <f t="shared" si="128"/>
        <v/>
      </c>
      <c r="ES764" s="531" t="str">
        <f t="shared" si="129"/>
        <v/>
      </c>
      <c r="ET764" s="531" t="str">
        <f t="shared" si="130"/>
        <v/>
      </c>
      <c r="EU764" s="531" t="str">
        <f t="shared" si="131"/>
        <v/>
      </c>
      <c r="EV764" s="531" t="str">
        <f t="shared" si="132"/>
        <v/>
      </c>
      <c r="EW764" s="1554" t="str">
        <f t="shared" si="133"/>
        <v/>
      </c>
      <c r="EX764" s="1554" t="str">
        <f t="shared" si="134"/>
        <v/>
      </c>
      <c r="EY764" s="1554" t="str">
        <f t="shared" si="135"/>
        <v/>
      </c>
      <c r="EZ764" s="1554" t="str">
        <f t="shared" si="136"/>
        <v/>
      </c>
      <c r="FA764" s="1554" t="str">
        <f t="shared" si="137"/>
        <v/>
      </c>
      <c r="FB764" s="1554" t="str">
        <f t="shared" si="138"/>
        <v/>
      </c>
      <c r="FC764" s="1554" t="str">
        <f t="shared" si="139"/>
        <v/>
      </c>
      <c r="FD764" s="1554" t="str">
        <f t="shared" si="140"/>
        <v/>
      </c>
      <c r="FE764" s="1554" t="str">
        <f t="shared" si="141"/>
        <v/>
      </c>
      <c r="FF764" s="1554" t="str">
        <f t="shared" si="142"/>
        <v/>
      </c>
      <c r="FG764" s="1554" t="str">
        <f t="shared" si="143"/>
        <v/>
      </c>
      <c r="FH764" s="1554" t="str">
        <f t="shared" si="144"/>
        <v/>
      </c>
      <c r="FI764" s="1554" t="str">
        <f t="shared" si="145"/>
        <v/>
      </c>
      <c r="FJ764" s="1554" t="str">
        <f t="shared" si="146"/>
        <v/>
      </c>
      <c r="FK764" s="1554" t="str">
        <f t="shared" si="147"/>
        <v/>
      </c>
      <c r="FL764" s="1554" t="str">
        <f t="shared" si="148"/>
        <v/>
      </c>
      <c r="FM764" s="1554" t="str">
        <f t="shared" si="149"/>
        <v/>
      </c>
      <c r="FN764" s="1554" t="str">
        <f t="shared" si="150"/>
        <v/>
      </c>
      <c r="FO764" s="1554" t="str">
        <f t="shared" si="151"/>
        <v/>
      </c>
      <c r="FP764" s="1554" t="str">
        <f t="shared" si="152"/>
        <v/>
      </c>
      <c r="FQ764" s="1554" t="str">
        <f t="shared" si="153"/>
        <v/>
      </c>
      <c r="FR764" s="1554" t="str">
        <f t="shared" si="154"/>
        <v/>
      </c>
      <c r="FS764" s="1554" t="str">
        <f t="shared" si="155"/>
        <v/>
      </c>
      <c r="FT764" s="1554" t="str">
        <f t="shared" si="156"/>
        <v/>
      </c>
      <c r="FU764" s="1554" t="str">
        <f t="shared" si="157"/>
        <v/>
      </c>
      <c r="FV764" s="1554" t="str">
        <f t="shared" si="158"/>
        <v/>
      </c>
      <c r="FW764" s="1554" t="str">
        <f t="shared" si="159"/>
        <v/>
      </c>
      <c r="FX764" s="1554" t="str">
        <f t="shared" si="160"/>
        <v/>
      </c>
      <c r="FY764" s="1554" t="str">
        <f t="shared" si="161"/>
        <v/>
      </c>
      <c r="FZ764" s="1554" t="str">
        <f t="shared" si="162"/>
        <v/>
      </c>
      <c r="GA764" s="1554" t="str">
        <f t="shared" si="163"/>
        <v/>
      </c>
      <c r="GB764" s="1554" t="str">
        <f t="shared" si="164"/>
        <v/>
      </c>
      <c r="GC764" s="1554" t="str">
        <f t="shared" si="165"/>
        <v/>
      </c>
      <c r="GD764" s="1554" t="str">
        <f t="shared" si="166"/>
        <v/>
      </c>
      <c r="GE764" s="1554" t="str">
        <f t="shared" si="167"/>
        <v/>
      </c>
      <c r="GF764" s="1554" t="str">
        <f t="shared" si="168"/>
        <v/>
      </c>
      <c r="GG764" s="1554" t="str">
        <f t="shared" si="169"/>
        <v/>
      </c>
      <c r="GH764" s="1554" t="str">
        <f t="shared" si="170"/>
        <v/>
      </c>
      <c r="GI764" s="1554" t="str">
        <f t="shared" si="171"/>
        <v/>
      </c>
      <c r="GJ764" s="1554" t="str">
        <f t="shared" si="172"/>
        <v/>
      </c>
      <c r="GK764" s="1554" t="str">
        <f t="shared" si="173"/>
        <v/>
      </c>
      <c r="GL764" s="1554" t="str">
        <f t="shared" si="174"/>
        <v/>
      </c>
      <c r="GM764" s="1554" t="str">
        <f t="shared" si="175"/>
        <v/>
      </c>
      <c r="GN764" s="1554" t="str">
        <f t="shared" si="176"/>
        <v/>
      </c>
      <c r="GO764" s="1554" t="str">
        <f t="shared" si="177"/>
        <v/>
      </c>
      <c r="GP764" s="1554" t="str">
        <f t="shared" si="178"/>
        <v/>
      </c>
      <c r="GQ764" s="1554" t="str">
        <f t="shared" si="179"/>
        <v/>
      </c>
      <c r="GR764" s="1554" t="str">
        <f t="shared" si="180"/>
        <v/>
      </c>
      <c r="GS764" s="1554" t="str">
        <f t="shared" si="181"/>
        <v/>
      </c>
      <c r="GT764" s="1554" t="str">
        <f t="shared" si="182"/>
        <v/>
      </c>
      <c r="GU764" s="1554" t="str">
        <f t="shared" si="183"/>
        <v/>
      </c>
      <c r="GV764" s="1554" t="str">
        <f t="shared" si="184"/>
        <v/>
      </c>
      <c r="GW764" s="1554" t="str">
        <f t="shared" si="185"/>
        <v/>
      </c>
      <c r="GX764" s="1554" t="str">
        <f t="shared" si="186"/>
        <v/>
      </c>
      <c r="GY764" s="1554" t="str">
        <f t="shared" si="187"/>
        <v/>
      </c>
      <c r="GZ764" s="1554" t="str">
        <f t="shared" si="188"/>
        <v/>
      </c>
      <c r="HA764" s="1554" t="str">
        <f t="shared" si="189"/>
        <v/>
      </c>
      <c r="HB764" s="1554" t="str">
        <f t="shared" si="190"/>
        <v/>
      </c>
      <c r="HC764" s="1554" t="str">
        <f t="shared" si="191"/>
        <v/>
      </c>
      <c r="HD764" s="1554" t="str">
        <f t="shared" si="192"/>
        <v/>
      </c>
      <c r="HE764" s="1554" t="str">
        <f t="shared" si="193"/>
        <v/>
      </c>
      <c r="HF764" s="1554" t="str">
        <f t="shared" si="194"/>
        <v/>
      </c>
      <c r="HG764" s="1554" t="str">
        <f t="shared" si="195"/>
        <v/>
      </c>
      <c r="HH764" s="1554" t="str">
        <f t="shared" si="196"/>
        <v/>
      </c>
      <c r="HI764" s="1554" t="str">
        <f t="shared" si="197"/>
        <v/>
      </c>
      <c r="HJ764" s="1554" t="str">
        <f t="shared" si="198"/>
        <v/>
      </c>
      <c r="HK764" s="1554" t="str">
        <f t="shared" si="199"/>
        <v/>
      </c>
      <c r="HL764" s="1554" t="str">
        <f t="shared" si="200"/>
        <v/>
      </c>
      <c r="HM764" s="1554" t="str">
        <f t="shared" si="201"/>
        <v/>
      </c>
      <c r="HN764" s="1554" t="str">
        <f t="shared" si="202"/>
        <v/>
      </c>
      <c r="HO764" s="1554" t="str">
        <f t="shared" si="203"/>
        <v/>
      </c>
      <c r="HP764" s="1554" t="str">
        <f t="shared" si="204"/>
        <v/>
      </c>
      <c r="HQ764" s="1554" t="str">
        <f t="shared" si="205"/>
        <v/>
      </c>
      <c r="HR764" s="1554" t="str">
        <f t="shared" si="206"/>
        <v/>
      </c>
      <c r="HS764" s="1554" t="str">
        <f t="shared" si="207"/>
        <v/>
      </c>
      <c r="HT764" s="1554" t="str">
        <f t="shared" si="208"/>
        <v/>
      </c>
      <c r="HU764" s="1554" t="str">
        <f t="shared" si="209"/>
        <v/>
      </c>
      <c r="HV764" s="1554" t="str">
        <f t="shared" si="210"/>
        <v/>
      </c>
      <c r="HW764" s="1554" t="str">
        <f t="shared" si="211"/>
        <v/>
      </c>
      <c r="HX764" s="1554" t="str">
        <f t="shared" si="212"/>
        <v/>
      </c>
      <c r="HY764" s="1554" t="str">
        <f t="shared" si="213"/>
        <v/>
      </c>
      <c r="HZ764" s="1554" t="str">
        <f t="shared" si="214"/>
        <v/>
      </c>
      <c r="IA764" s="1554" t="str">
        <f t="shared" si="215"/>
        <v/>
      </c>
      <c r="IB764" s="1554" t="str">
        <f t="shared" si="216"/>
        <v/>
      </c>
      <c r="IC764" s="1554" t="str">
        <f t="shared" si="217"/>
        <v/>
      </c>
      <c r="ID764" s="31" t="str">
        <f t="shared" si="218"/>
        <v/>
      </c>
      <c r="IE764" s="31" t="str">
        <f t="shared" si="219"/>
        <v/>
      </c>
      <c r="IF764" s="31" t="str">
        <f t="shared" si="220"/>
        <v/>
      </c>
      <c r="IG764" s="31" t="str">
        <f t="shared" si="221"/>
        <v/>
      </c>
      <c r="IH764" s="31" t="str">
        <f t="shared" si="222"/>
        <v/>
      </c>
      <c r="II764" s="531" t="str">
        <f t="shared" si="223"/>
        <v/>
      </c>
      <c r="IJ764" s="531" t="str">
        <f t="shared" si="224"/>
        <v/>
      </c>
      <c r="IK764" s="531" t="str">
        <f t="shared" si="225"/>
        <v/>
      </c>
      <c r="IL764" s="531" t="str">
        <f t="shared" si="226"/>
        <v/>
      </c>
      <c r="IM764" s="531" t="str">
        <f t="shared" si="227"/>
        <v/>
      </c>
      <c r="IN764" s="531" t="str">
        <f t="shared" si="228"/>
        <v/>
      </c>
      <c r="IO764" s="531" t="str">
        <f t="shared" si="229"/>
        <v/>
      </c>
      <c r="IP764" s="531" t="str">
        <f t="shared" si="230"/>
        <v/>
      </c>
      <c r="IQ764" s="531" t="str">
        <f t="shared" si="231"/>
        <v/>
      </c>
      <c r="IR764" s="531" t="str">
        <f t="shared" si="232"/>
        <v/>
      </c>
      <c r="IS764" s="531" t="str">
        <f t="shared" si="233"/>
        <v/>
      </c>
      <c r="IT764" s="531" t="str">
        <f t="shared" si="234"/>
        <v/>
      </c>
      <c r="IU764" s="531" t="str">
        <f t="shared" si="235"/>
        <v/>
      </c>
      <c r="IV764" s="531" t="str">
        <f t="shared" si="236"/>
        <v/>
      </c>
      <c r="IW764" s="531" t="str">
        <f t="shared" si="237"/>
        <v/>
      </c>
      <c r="IX764" s="531" t="str">
        <f t="shared" si="238"/>
        <v/>
      </c>
      <c r="IY764" s="531" t="str">
        <f t="shared" si="239"/>
        <v/>
      </c>
      <c r="IZ764" s="531" t="str">
        <f t="shared" si="240"/>
        <v/>
      </c>
      <c r="JA764" s="531" t="str">
        <f t="shared" si="241"/>
        <v/>
      </c>
      <c r="JB764" s="531" t="str">
        <f t="shared" si="242"/>
        <v/>
      </c>
      <c r="JC764" s="615">
        <f t="shared" si="243"/>
        <v>0</v>
      </c>
      <c r="JD764" s="615">
        <f t="shared" si="244"/>
        <v>0</v>
      </c>
      <c r="JE764" s="615">
        <f t="shared" si="245"/>
        <v>0</v>
      </c>
      <c r="JF764" s="615">
        <f t="shared" si="246"/>
        <v>0</v>
      </c>
      <c r="JG764" s="615">
        <f t="shared" si="247"/>
        <v>0</v>
      </c>
      <c r="JH764" s="615">
        <f t="shared" si="248"/>
        <v>0</v>
      </c>
      <c r="JI764" s="615">
        <f t="shared" si="249"/>
        <v>0</v>
      </c>
      <c r="JJ764" s="615">
        <f t="shared" si="250"/>
        <v>0</v>
      </c>
      <c r="JK764" s="615">
        <f t="shared" si="251"/>
        <v>0</v>
      </c>
      <c r="JL764" s="615">
        <f t="shared" si="252"/>
        <v>0</v>
      </c>
      <c r="JM764" s="615">
        <f t="shared" si="253"/>
        <v>0</v>
      </c>
      <c r="JN764" s="615">
        <f t="shared" si="254"/>
        <v>0</v>
      </c>
      <c r="JO764" s="615">
        <f t="shared" si="255"/>
        <v>0</v>
      </c>
      <c r="JP764" s="615">
        <f t="shared" si="256"/>
        <v>0</v>
      </c>
      <c r="JQ764" s="615">
        <f t="shared" si="257"/>
        <v>0</v>
      </c>
    </row>
    <row r="765" spans="1:277" ht="12" customHeight="1">
      <c r="A765" s="1190" t="str">
        <f t="shared" si="0"/>
        <v/>
      </c>
      <c r="B765" s="1545" t="str">
        <f>'Part VI-Revenues &amp; Expenses'!B22</f>
        <v>&lt;&lt;Select&gt;&gt;</v>
      </c>
      <c r="C765" s="1546">
        <f>'Part VI-Revenues &amp; Expenses'!C22</f>
        <v>0</v>
      </c>
      <c r="D765" s="1547">
        <f>'Part VI-Revenues &amp; Expenses'!D22</f>
        <v>0</v>
      </c>
      <c r="E765" s="1548">
        <f>'Part VI-Revenues &amp; Expenses'!E22</f>
        <v>0</v>
      </c>
      <c r="F765" s="1548">
        <f>'Part VI-Revenues &amp; Expenses'!F22</f>
        <v>0</v>
      </c>
      <c r="G765" s="1548">
        <f>'Part VI-Revenues &amp; Expenses'!G22</f>
        <v>0</v>
      </c>
      <c r="H765" s="1548">
        <f>'Part VI-Revenues &amp; Expenses'!H22</f>
        <v>0</v>
      </c>
      <c r="I765" s="1548">
        <f>'Part VI-Revenues &amp; Expenses'!I22</f>
        <v>0</v>
      </c>
      <c r="J765" s="1549">
        <f>'Part VI-Revenues &amp; Expenses'!J22</f>
        <v>0</v>
      </c>
      <c r="K765" s="1550">
        <f t="shared" si="1"/>
        <v>0</v>
      </c>
      <c r="L765" s="1550">
        <f t="shared" si="2"/>
        <v>0</v>
      </c>
      <c r="M765" s="1551">
        <f>'Part VI-Revenues &amp; Expenses'!M22</f>
        <v>0</v>
      </c>
      <c r="N765" s="1551">
        <f>'Part VI-Revenues &amp; Expenses'!N22</f>
        <v>0</v>
      </c>
      <c r="O765" s="1551">
        <f>'Part VI-Revenues &amp; Expenses'!O22</f>
        <v>0</v>
      </c>
      <c r="P765" s="1406">
        <f>'Part VI-Revenues &amp; Expenses'!P22</f>
        <v>0</v>
      </c>
      <c r="Q765" s="1552" t="str">
        <f>'Part VI-Revenues &amp; Expenses'!Q22</f>
        <v/>
      </c>
      <c r="R765" s="1553" t="str">
        <f>'Part VI-Revenues &amp; Expenses'!R22</f>
        <v/>
      </c>
      <c r="S765" s="1552">
        <f>'Part VI-Revenues &amp; Expenses'!S22</f>
        <v>0</v>
      </c>
      <c r="T765" s="1553">
        <f>'Part VI-Revenues &amp; Expenses'!T22</f>
        <v>0</v>
      </c>
      <c r="U765" s="1477"/>
      <c r="V765" s="1477"/>
      <c r="W765" s="531" t="str">
        <f t="shared" si="3"/>
        <v/>
      </c>
      <c r="X765" s="531" t="str">
        <f t="shared" si="4"/>
        <v/>
      </c>
      <c r="Y765" s="531" t="str">
        <f t="shared" si="5"/>
        <v/>
      </c>
      <c r="Z765" s="531" t="str">
        <f t="shared" si="6"/>
        <v/>
      </c>
      <c r="AA765" s="531" t="str">
        <f t="shared" si="7"/>
        <v/>
      </c>
      <c r="AB765" s="531" t="str">
        <f t="shared" si="8"/>
        <v/>
      </c>
      <c r="AC765" s="531" t="str">
        <f t="shared" si="9"/>
        <v/>
      </c>
      <c r="AD765" s="531" t="str">
        <f t="shared" si="10"/>
        <v/>
      </c>
      <c r="AE765" s="531" t="str">
        <f t="shared" si="11"/>
        <v/>
      </c>
      <c r="AF765" s="531" t="str">
        <f t="shared" si="12"/>
        <v/>
      </c>
      <c r="AG765" s="531" t="str">
        <f t="shared" si="13"/>
        <v/>
      </c>
      <c r="AH765" s="531" t="str">
        <f t="shared" si="14"/>
        <v/>
      </c>
      <c r="AI765" s="531" t="str">
        <f t="shared" si="15"/>
        <v/>
      </c>
      <c r="AJ765" s="531" t="str">
        <f t="shared" si="16"/>
        <v/>
      </c>
      <c r="AK765" s="531" t="str">
        <f t="shared" si="17"/>
        <v/>
      </c>
      <c r="AL765" s="531" t="str">
        <f t="shared" si="18"/>
        <v/>
      </c>
      <c r="AM765" s="531" t="str">
        <f t="shared" si="19"/>
        <v/>
      </c>
      <c r="AN765" s="531" t="str">
        <f t="shared" si="20"/>
        <v/>
      </c>
      <c r="AO765" s="531" t="str">
        <f t="shared" si="21"/>
        <v/>
      </c>
      <c r="AP765" s="531" t="str">
        <f t="shared" si="22"/>
        <v/>
      </c>
      <c r="AQ765" s="531" t="str">
        <f t="shared" si="23"/>
        <v/>
      </c>
      <c r="AR765" s="531" t="str">
        <f t="shared" si="24"/>
        <v/>
      </c>
      <c r="AS765" s="531" t="str">
        <f t="shared" si="25"/>
        <v/>
      </c>
      <c r="AT765" s="531" t="str">
        <f t="shared" si="26"/>
        <v/>
      </c>
      <c r="AU765" s="531" t="str">
        <f t="shared" si="27"/>
        <v/>
      </c>
      <c r="AV765" s="531" t="str">
        <f t="shared" si="28"/>
        <v/>
      </c>
      <c r="AW765" s="531" t="str">
        <f t="shared" si="29"/>
        <v/>
      </c>
      <c r="AX765" s="531" t="str">
        <f t="shared" si="30"/>
        <v/>
      </c>
      <c r="AY765" s="531" t="str">
        <f t="shared" si="31"/>
        <v/>
      </c>
      <c r="AZ765" s="531" t="str">
        <f t="shared" si="32"/>
        <v/>
      </c>
      <c r="BA765" s="531" t="str">
        <f t="shared" si="33"/>
        <v/>
      </c>
      <c r="BB765" s="531" t="str">
        <f t="shared" si="34"/>
        <v/>
      </c>
      <c r="BC765" s="531" t="str">
        <f t="shared" si="35"/>
        <v/>
      </c>
      <c r="BD765" s="531" t="str">
        <f t="shared" si="36"/>
        <v/>
      </c>
      <c r="BE765" s="531" t="str">
        <f t="shared" si="37"/>
        <v/>
      </c>
      <c r="BF765" s="531" t="str">
        <f t="shared" si="38"/>
        <v/>
      </c>
      <c r="BG765" s="531" t="str">
        <f t="shared" si="39"/>
        <v/>
      </c>
      <c r="BH765" s="531" t="str">
        <f t="shared" si="40"/>
        <v/>
      </c>
      <c r="BI765" s="531" t="str">
        <f t="shared" si="41"/>
        <v/>
      </c>
      <c r="BJ765" s="531" t="str">
        <f t="shared" si="42"/>
        <v/>
      </c>
      <c r="BK765" s="531" t="str">
        <f t="shared" si="43"/>
        <v/>
      </c>
      <c r="BL765" s="531" t="str">
        <f t="shared" si="44"/>
        <v/>
      </c>
      <c r="BM765" s="531" t="str">
        <f t="shared" si="45"/>
        <v/>
      </c>
      <c r="BN765" s="531" t="str">
        <f t="shared" si="46"/>
        <v/>
      </c>
      <c r="BO765" s="531" t="str">
        <f t="shared" si="47"/>
        <v/>
      </c>
      <c r="BP765" s="531" t="str">
        <f t="shared" si="48"/>
        <v/>
      </c>
      <c r="BQ765" s="531" t="str">
        <f t="shared" si="49"/>
        <v/>
      </c>
      <c r="BR765" s="531" t="str">
        <f t="shared" si="50"/>
        <v/>
      </c>
      <c r="BS765" s="531" t="str">
        <f t="shared" si="51"/>
        <v/>
      </c>
      <c r="BT765" s="531" t="str">
        <f t="shared" si="52"/>
        <v/>
      </c>
      <c r="BU765" s="531" t="str">
        <f t="shared" si="53"/>
        <v/>
      </c>
      <c r="BV765" s="531" t="str">
        <f t="shared" si="54"/>
        <v/>
      </c>
      <c r="BW765" s="531" t="str">
        <f t="shared" si="55"/>
        <v/>
      </c>
      <c r="BX765" s="531" t="str">
        <f t="shared" si="56"/>
        <v/>
      </c>
      <c r="BY765" s="531" t="str">
        <f t="shared" si="57"/>
        <v/>
      </c>
      <c r="BZ765" s="531" t="str">
        <f t="shared" si="58"/>
        <v/>
      </c>
      <c r="CA765" s="531" t="str">
        <f t="shared" si="59"/>
        <v/>
      </c>
      <c r="CB765" s="531" t="str">
        <f t="shared" si="60"/>
        <v/>
      </c>
      <c r="CC765" s="531" t="str">
        <f t="shared" si="61"/>
        <v/>
      </c>
      <c r="CD765" s="531" t="str">
        <f t="shared" si="62"/>
        <v/>
      </c>
      <c r="CE765" s="531" t="str">
        <f t="shared" si="63"/>
        <v/>
      </c>
      <c r="CF765" s="531" t="str">
        <f t="shared" si="64"/>
        <v/>
      </c>
      <c r="CG765" s="531" t="str">
        <f t="shared" si="65"/>
        <v/>
      </c>
      <c r="CH765" s="531" t="str">
        <f t="shared" si="66"/>
        <v/>
      </c>
      <c r="CI765" s="531" t="str">
        <f t="shared" si="67"/>
        <v/>
      </c>
      <c r="CJ765" s="531" t="str">
        <f t="shared" si="68"/>
        <v/>
      </c>
      <c r="CK765" s="531" t="str">
        <f t="shared" si="69"/>
        <v/>
      </c>
      <c r="CL765" s="531" t="str">
        <f t="shared" si="70"/>
        <v/>
      </c>
      <c r="CM765" s="531" t="str">
        <f t="shared" si="71"/>
        <v/>
      </c>
      <c r="CN765" s="531" t="str">
        <f t="shared" si="72"/>
        <v/>
      </c>
      <c r="CO765" s="531" t="str">
        <f t="shared" si="73"/>
        <v/>
      </c>
      <c r="CP765" s="531" t="str">
        <f t="shared" si="74"/>
        <v/>
      </c>
      <c r="CQ765" s="531" t="str">
        <f t="shared" si="75"/>
        <v/>
      </c>
      <c r="CR765" s="531" t="str">
        <f t="shared" si="76"/>
        <v/>
      </c>
      <c r="CS765" s="531" t="str">
        <f t="shared" si="77"/>
        <v/>
      </c>
      <c r="CT765" s="531" t="str">
        <f t="shared" si="78"/>
        <v/>
      </c>
      <c r="CU765" s="531" t="str">
        <f t="shared" si="79"/>
        <v/>
      </c>
      <c r="CV765" s="531" t="str">
        <f t="shared" si="80"/>
        <v/>
      </c>
      <c r="CW765" s="531" t="str">
        <f t="shared" si="81"/>
        <v/>
      </c>
      <c r="CX765" s="531" t="str">
        <f t="shared" si="82"/>
        <v/>
      </c>
      <c r="CY765" s="531" t="str">
        <f t="shared" si="83"/>
        <v/>
      </c>
      <c r="CZ765" s="531" t="str">
        <f t="shared" si="84"/>
        <v/>
      </c>
      <c r="DA765" s="531" t="str">
        <f t="shared" si="85"/>
        <v/>
      </c>
      <c r="DB765" s="531" t="str">
        <f t="shared" si="86"/>
        <v/>
      </c>
      <c r="DC765" s="531" t="str">
        <f t="shared" si="87"/>
        <v/>
      </c>
      <c r="DD765" s="531" t="str">
        <f t="shared" si="88"/>
        <v/>
      </c>
      <c r="DE765" s="531" t="str">
        <f t="shared" si="89"/>
        <v/>
      </c>
      <c r="DF765" s="531" t="str">
        <f t="shared" si="90"/>
        <v/>
      </c>
      <c r="DG765" s="531" t="str">
        <f t="shared" si="91"/>
        <v/>
      </c>
      <c r="DH765" s="531" t="str">
        <f t="shared" si="92"/>
        <v/>
      </c>
      <c r="DI765" s="531" t="str">
        <f t="shared" si="93"/>
        <v/>
      </c>
      <c r="DJ765" s="531" t="str">
        <f t="shared" si="94"/>
        <v/>
      </c>
      <c r="DK765" s="531" t="str">
        <f t="shared" si="95"/>
        <v/>
      </c>
      <c r="DL765" s="531" t="str">
        <f t="shared" si="96"/>
        <v/>
      </c>
      <c r="DM765" s="531" t="str">
        <f t="shared" si="97"/>
        <v/>
      </c>
      <c r="DN765" s="531" t="str">
        <f t="shared" si="98"/>
        <v/>
      </c>
      <c r="DO765" s="531" t="str">
        <f t="shared" si="99"/>
        <v/>
      </c>
      <c r="DP765" s="531" t="str">
        <f t="shared" si="100"/>
        <v/>
      </c>
      <c r="DQ765" s="531" t="str">
        <f t="shared" si="101"/>
        <v/>
      </c>
      <c r="DR765" s="531" t="str">
        <f t="shared" si="102"/>
        <v/>
      </c>
      <c r="DS765" s="531" t="str">
        <f t="shared" si="103"/>
        <v/>
      </c>
      <c r="DT765" s="531" t="str">
        <f t="shared" si="104"/>
        <v/>
      </c>
      <c r="DU765" s="531" t="str">
        <f t="shared" si="105"/>
        <v/>
      </c>
      <c r="DV765" s="531" t="str">
        <f t="shared" si="106"/>
        <v/>
      </c>
      <c r="DW765" s="531" t="str">
        <f t="shared" si="107"/>
        <v/>
      </c>
      <c r="DX765" s="531" t="str">
        <f t="shared" si="108"/>
        <v/>
      </c>
      <c r="DY765" s="531" t="str">
        <f t="shared" si="109"/>
        <v/>
      </c>
      <c r="DZ765" s="531" t="str">
        <f t="shared" si="110"/>
        <v/>
      </c>
      <c r="EA765" s="531" t="str">
        <f t="shared" si="111"/>
        <v/>
      </c>
      <c r="EB765" s="531" t="str">
        <f t="shared" si="112"/>
        <v/>
      </c>
      <c r="EC765" s="531" t="str">
        <f t="shared" si="113"/>
        <v/>
      </c>
      <c r="ED765" s="531" t="str">
        <f t="shared" si="114"/>
        <v/>
      </c>
      <c r="EE765" s="531" t="str">
        <f t="shared" si="115"/>
        <v/>
      </c>
      <c r="EF765" s="531" t="str">
        <f t="shared" si="116"/>
        <v/>
      </c>
      <c r="EG765" s="531" t="str">
        <f t="shared" si="117"/>
        <v/>
      </c>
      <c r="EH765" s="531" t="str">
        <f t="shared" si="118"/>
        <v/>
      </c>
      <c r="EI765" s="531" t="str">
        <f t="shared" si="119"/>
        <v/>
      </c>
      <c r="EJ765" s="531" t="str">
        <f t="shared" si="120"/>
        <v/>
      </c>
      <c r="EK765" s="531" t="str">
        <f t="shared" si="121"/>
        <v/>
      </c>
      <c r="EL765" s="531" t="str">
        <f t="shared" si="122"/>
        <v/>
      </c>
      <c r="EM765" s="531" t="str">
        <f t="shared" si="123"/>
        <v/>
      </c>
      <c r="EN765" s="531" t="str">
        <f t="shared" si="124"/>
        <v/>
      </c>
      <c r="EO765" s="531" t="str">
        <f t="shared" si="125"/>
        <v/>
      </c>
      <c r="EP765" s="531" t="str">
        <f t="shared" si="126"/>
        <v/>
      </c>
      <c r="EQ765" s="531" t="str">
        <f t="shared" si="127"/>
        <v/>
      </c>
      <c r="ER765" s="531" t="str">
        <f t="shared" si="128"/>
        <v/>
      </c>
      <c r="ES765" s="531" t="str">
        <f t="shared" si="129"/>
        <v/>
      </c>
      <c r="ET765" s="531" t="str">
        <f t="shared" si="130"/>
        <v/>
      </c>
      <c r="EU765" s="531" t="str">
        <f t="shared" si="131"/>
        <v/>
      </c>
      <c r="EV765" s="531" t="str">
        <f t="shared" si="132"/>
        <v/>
      </c>
      <c r="EW765" s="1554" t="str">
        <f t="shared" si="133"/>
        <v/>
      </c>
      <c r="EX765" s="1554" t="str">
        <f t="shared" si="134"/>
        <v/>
      </c>
      <c r="EY765" s="1554" t="str">
        <f t="shared" si="135"/>
        <v/>
      </c>
      <c r="EZ765" s="1554" t="str">
        <f t="shared" si="136"/>
        <v/>
      </c>
      <c r="FA765" s="1554" t="str">
        <f t="shared" si="137"/>
        <v/>
      </c>
      <c r="FB765" s="1554" t="str">
        <f t="shared" si="138"/>
        <v/>
      </c>
      <c r="FC765" s="1554" t="str">
        <f t="shared" si="139"/>
        <v/>
      </c>
      <c r="FD765" s="1554" t="str">
        <f t="shared" si="140"/>
        <v/>
      </c>
      <c r="FE765" s="1554" t="str">
        <f t="shared" si="141"/>
        <v/>
      </c>
      <c r="FF765" s="1554" t="str">
        <f t="shared" si="142"/>
        <v/>
      </c>
      <c r="FG765" s="1554" t="str">
        <f t="shared" si="143"/>
        <v/>
      </c>
      <c r="FH765" s="1554" t="str">
        <f t="shared" si="144"/>
        <v/>
      </c>
      <c r="FI765" s="1554" t="str">
        <f t="shared" si="145"/>
        <v/>
      </c>
      <c r="FJ765" s="1554" t="str">
        <f t="shared" si="146"/>
        <v/>
      </c>
      <c r="FK765" s="1554" t="str">
        <f t="shared" si="147"/>
        <v/>
      </c>
      <c r="FL765" s="1554" t="str">
        <f t="shared" si="148"/>
        <v/>
      </c>
      <c r="FM765" s="1554" t="str">
        <f t="shared" si="149"/>
        <v/>
      </c>
      <c r="FN765" s="1554" t="str">
        <f t="shared" si="150"/>
        <v/>
      </c>
      <c r="FO765" s="1554" t="str">
        <f t="shared" si="151"/>
        <v/>
      </c>
      <c r="FP765" s="1554" t="str">
        <f t="shared" si="152"/>
        <v/>
      </c>
      <c r="FQ765" s="1554" t="str">
        <f t="shared" si="153"/>
        <v/>
      </c>
      <c r="FR765" s="1554" t="str">
        <f t="shared" si="154"/>
        <v/>
      </c>
      <c r="FS765" s="1554" t="str">
        <f t="shared" si="155"/>
        <v/>
      </c>
      <c r="FT765" s="1554" t="str">
        <f t="shared" si="156"/>
        <v/>
      </c>
      <c r="FU765" s="1554" t="str">
        <f t="shared" si="157"/>
        <v/>
      </c>
      <c r="FV765" s="1554" t="str">
        <f t="shared" si="158"/>
        <v/>
      </c>
      <c r="FW765" s="1554" t="str">
        <f t="shared" si="159"/>
        <v/>
      </c>
      <c r="FX765" s="1554" t="str">
        <f t="shared" si="160"/>
        <v/>
      </c>
      <c r="FY765" s="1554" t="str">
        <f t="shared" si="161"/>
        <v/>
      </c>
      <c r="FZ765" s="1554" t="str">
        <f t="shared" si="162"/>
        <v/>
      </c>
      <c r="GA765" s="1554" t="str">
        <f t="shared" si="163"/>
        <v/>
      </c>
      <c r="GB765" s="1554" t="str">
        <f t="shared" si="164"/>
        <v/>
      </c>
      <c r="GC765" s="1554" t="str">
        <f t="shared" si="165"/>
        <v/>
      </c>
      <c r="GD765" s="1554" t="str">
        <f t="shared" si="166"/>
        <v/>
      </c>
      <c r="GE765" s="1554" t="str">
        <f t="shared" si="167"/>
        <v/>
      </c>
      <c r="GF765" s="1554" t="str">
        <f t="shared" si="168"/>
        <v/>
      </c>
      <c r="GG765" s="1554" t="str">
        <f t="shared" si="169"/>
        <v/>
      </c>
      <c r="GH765" s="1554" t="str">
        <f t="shared" si="170"/>
        <v/>
      </c>
      <c r="GI765" s="1554" t="str">
        <f t="shared" si="171"/>
        <v/>
      </c>
      <c r="GJ765" s="1554" t="str">
        <f t="shared" si="172"/>
        <v/>
      </c>
      <c r="GK765" s="1554" t="str">
        <f t="shared" si="173"/>
        <v/>
      </c>
      <c r="GL765" s="1554" t="str">
        <f t="shared" si="174"/>
        <v/>
      </c>
      <c r="GM765" s="1554" t="str">
        <f t="shared" si="175"/>
        <v/>
      </c>
      <c r="GN765" s="1554" t="str">
        <f t="shared" si="176"/>
        <v/>
      </c>
      <c r="GO765" s="1554" t="str">
        <f t="shared" si="177"/>
        <v/>
      </c>
      <c r="GP765" s="1554" t="str">
        <f t="shared" si="178"/>
        <v/>
      </c>
      <c r="GQ765" s="1554" t="str">
        <f t="shared" si="179"/>
        <v/>
      </c>
      <c r="GR765" s="1554" t="str">
        <f t="shared" si="180"/>
        <v/>
      </c>
      <c r="GS765" s="1554" t="str">
        <f t="shared" si="181"/>
        <v/>
      </c>
      <c r="GT765" s="1554" t="str">
        <f t="shared" si="182"/>
        <v/>
      </c>
      <c r="GU765" s="1554" t="str">
        <f t="shared" si="183"/>
        <v/>
      </c>
      <c r="GV765" s="1554" t="str">
        <f t="shared" si="184"/>
        <v/>
      </c>
      <c r="GW765" s="1554" t="str">
        <f t="shared" si="185"/>
        <v/>
      </c>
      <c r="GX765" s="1554" t="str">
        <f t="shared" si="186"/>
        <v/>
      </c>
      <c r="GY765" s="1554" t="str">
        <f t="shared" si="187"/>
        <v/>
      </c>
      <c r="GZ765" s="1554" t="str">
        <f t="shared" si="188"/>
        <v/>
      </c>
      <c r="HA765" s="1554" t="str">
        <f t="shared" si="189"/>
        <v/>
      </c>
      <c r="HB765" s="1554" t="str">
        <f t="shared" si="190"/>
        <v/>
      </c>
      <c r="HC765" s="1554" t="str">
        <f t="shared" si="191"/>
        <v/>
      </c>
      <c r="HD765" s="1554" t="str">
        <f t="shared" si="192"/>
        <v/>
      </c>
      <c r="HE765" s="1554" t="str">
        <f t="shared" si="193"/>
        <v/>
      </c>
      <c r="HF765" s="1554" t="str">
        <f t="shared" si="194"/>
        <v/>
      </c>
      <c r="HG765" s="1554" t="str">
        <f t="shared" si="195"/>
        <v/>
      </c>
      <c r="HH765" s="1554" t="str">
        <f t="shared" si="196"/>
        <v/>
      </c>
      <c r="HI765" s="1554" t="str">
        <f t="shared" si="197"/>
        <v/>
      </c>
      <c r="HJ765" s="1554" t="str">
        <f t="shared" si="198"/>
        <v/>
      </c>
      <c r="HK765" s="1554" t="str">
        <f t="shared" si="199"/>
        <v/>
      </c>
      <c r="HL765" s="1554" t="str">
        <f t="shared" si="200"/>
        <v/>
      </c>
      <c r="HM765" s="1554" t="str">
        <f t="shared" si="201"/>
        <v/>
      </c>
      <c r="HN765" s="1554" t="str">
        <f t="shared" si="202"/>
        <v/>
      </c>
      <c r="HO765" s="1554" t="str">
        <f t="shared" si="203"/>
        <v/>
      </c>
      <c r="HP765" s="1554" t="str">
        <f t="shared" si="204"/>
        <v/>
      </c>
      <c r="HQ765" s="1554" t="str">
        <f t="shared" si="205"/>
        <v/>
      </c>
      <c r="HR765" s="1554" t="str">
        <f t="shared" si="206"/>
        <v/>
      </c>
      <c r="HS765" s="1554" t="str">
        <f t="shared" si="207"/>
        <v/>
      </c>
      <c r="HT765" s="1554" t="str">
        <f t="shared" si="208"/>
        <v/>
      </c>
      <c r="HU765" s="1554" t="str">
        <f t="shared" si="209"/>
        <v/>
      </c>
      <c r="HV765" s="1554" t="str">
        <f t="shared" si="210"/>
        <v/>
      </c>
      <c r="HW765" s="1554" t="str">
        <f t="shared" si="211"/>
        <v/>
      </c>
      <c r="HX765" s="1554" t="str">
        <f t="shared" si="212"/>
        <v/>
      </c>
      <c r="HY765" s="1554" t="str">
        <f t="shared" si="213"/>
        <v/>
      </c>
      <c r="HZ765" s="1554" t="str">
        <f t="shared" si="214"/>
        <v/>
      </c>
      <c r="IA765" s="1554" t="str">
        <f t="shared" si="215"/>
        <v/>
      </c>
      <c r="IB765" s="1554" t="str">
        <f t="shared" si="216"/>
        <v/>
      </c>
      <c r="IC765" s="1554" t="str">
        <f t="shared" si="217"/>
        <v/>
      </c>
      <c r="ID765" s="31" t="str">
        <f t="shared" si="218"/>
        <v/>
      </c>
      <c r="IE765" s="31" t="str">
        <f t="shared" si="219"/>
        <v/>
      </c>
      <c r="IF765" s="31" t="str">
        <f t="shared" si="220"/>
        <v/>
      </c>
      <c r="IG765" s="31" t="str">
        <f t="shared" si="221"/>
        <v/>
      </c>
      <c r="IH765" s="31" t="str">
        <f t="shared" si="222"/>
        <v/>
      </c>
      <c r="II765" s="531" t="str">
        <f t="shared" si="223"/>
        <v/>
      </c>
      <c r="IJ765" s="531" t="str">
        <f t="shared" si="224"/>
        <v/>
      </c>
      <c r="IK765" s="531" t="str">
        <f t="shared" si="225"/>
        <v/>
      </c>
      <c r="IL765" s="531" t="str">
        <f t="shared" si="226"/>
        <v/>
      </c>
      <c r="IM765" s="531" t="str">
        <f t="shared" si="227"/>
        <v/>
      </c>
      <c r="IN765" s="531" t="str">
        <f t="shared" si="228"/>
        <v/>
      </c>
      <c r="IO765" s="531" t="str">
        <f t="shared" si="229"/>
        <v/>
      </c>
      <c r="IP765" s="531" t="str">
        <f t="shared" si="230"/>
        <v/>
      </c>
      <c r="IQ765" s="531" t="str">
        <f t="shared" si="231"/>
        <v/>
      </c>
      <c r="IR765" s="531" t="str">
        <f t="shared" si="232"/>
        <v/>
      </c>
      <c r="IS765" s="531" t="str">
        <f t="shared" si="233"/>
        <v/>
      </c>
      <c r="IT765" s="531" t="str">
        <f t="shared" si="234"/>
        <v/>
      </c>
      <c r="IU765" s="531" t="str">
        <f t="shared" si="235"/>
        <v/>
      </c>
      <c r="IV765" s="531" t="str">
        <f t="shared" si="236"/>
        <v/>
      </c>
      <c r="IW765" s="531" t="str">
        <f t="shared" si="237"/>
        <v/>
      </c>
      <c r="IX765" s="531" t="str">
        <f t="shared" si="238"/>
        <v/>
      </c>
      <c r="IY765" s="531" t="str">
        <f t="shared" si="239"/>
        <v/>
      </c>
      <c r="IZ765" s="531" t="str">
        <f t="shared" si="240"/>
        <v/>
      </c>
      <c r="JA765" s="531" t="str">
        <f t="shared" si="241"/>
        <v/>
      </c>
      <c r="JB765" s="531" t="str">
        <f t="shared" si="242"/>
        <v/>
      </c>
      <c r="JC765" s="615">
        <f t="shared" si="243"/>
        <v>0</v>
      </c>
      <c r="JD765" s="615">
        <f t="shared" si="244"/>
        <v>0</v>
      </c>
      <c r="JE765" s="615">
        <f t="shared" si="245"/>
        <v>0</v>
      </c>
      <c r="JF765" s="615">
        <f t="shared" si="246"/>
        <v>0</v>
      </c>
      <c r="JG765" s="615">
        <f t="shared" si="247"/>
        <v>0</v>
      </c>
      <c r="JH765" s="615">
        <f t="shared" si="248"/>
        <v>0</v>
      </c>
      <c r="JI765" s="615">
        <f t="shared" si="249"/>
        <v>0</v>
      </c>
      <c r="JJ765" s="615">
        <f t="shared" si="250"/>
        <v>0</v>
      </c>
      <c r="JK765" s="615">
        <f t="shared" si="251"/>
        <v>0</v>
      </c>
      <c r="JL765" s="615">
        <f t="shared" si="252"/>
        <v>0</v>
      </c>
      <c r="JM765" s="615">
        <f t="shared" si="253"/>
        <v>0</v>
      </c>
      <c r="JN765" s="615">
        <f t="shared" si="254"/>
        <v>0</v>
      </c>
      <c r="JO765" s="615">
        <f t="shared" si="255"/>
        <v>0</v>
      </c>
      <c r="JP765" s="615">
        <f t="shared" si="256"/>
        <v>0</v>
      </c>
      <c r="JQ765" s="615">
        <f t="shared" si="257"/>
        <v>0</v>
      </c>
    </row>
    <row r="766" spans="1:277" ht="12" customHeight="1">
      <c r="A766" s="1190" t="str">
        <f t="shared" si="0"/>
        <v/>
      </c>
      <c r="B766" s="1545" t="str">
        <f>'Part VI-Revenues &amp; Expenses'!B23</f>
        <v>&lt;&lt;Select&gt;&gt;</v>
      </c>
      <c r="C766" s="1546">
        <f>'Part VI-Revenues &amp; Expenses'!C23</f>
        <v>0</v>
      </c>
      <c r="D766" s="1547">
        <f>'Part VI-Revenues &amp; Expenses'!D23</f>
        <v>0</v>
      </c>
      <c r="E766" s="1548">
        <f>'Part VI-Revenues &amp; Expenses'!E23</f>
        <v>0</v>
      </c>
      <c r="F766" s="1548">
        <f>'Part VI-Revenues &amp; Expenses'!F23</f>
        <v>0</v>
      </c>
      <c r="G766" s="1548">
        <f>'Part VI-Revenues &amp; Expenses'!G23</f>
        <v>0</v>
      </c>
      <c r="H766" s="1548">
        <f>'Part VI-Revenues &amp; Expenses'!H23</f>
        <v>0</v>
      </c>
      <c r="I766" s="1548">
        <f>'Part VI-Revenues &amp; Expenses'!I23</f>
        <v>0</v>
      </c>
      <c r="J766" s="1549">
        <f>'Part VI-Revenues &amp; Expenses'!J23</f>
        <v>0</v>
      </c>
      <c r="K766" s="1550">
        <f t="shared" si="1"/>
        <v>0</v>
      </c>
      <c r="L766" s="1550">
        <f t="shared" si="2"/>
        <v>0</v>
      </c>
      <c r="M766" s="1551">
        <f>'Part VI-Revenues &amp; Expenses'!M23</f>
        <v>0</v>
      </c>
      <c r="N766" s="1551">
        <f>'Part VI-Revenues &amp; Expenses'!N23</f>
        <v>0</v>
      </c>
      <c r="O766" s="1551">
        <f>'Part VI-Revenues &amp; Expenses'!O23</f>
        <v>0</v>
      </c>
      <c r="P766" s="1406">
        <f>'Part VI-Revenues &amp; Expenses'!P23</f>
        <v>0</v>
      </c>
      <c r="Q766" s="1552" t="str">
        <f>'Part VI-Revenues &amp; Expenses'!Q23</f>
        <v/>
      </c>
      <c r="R766" s="1553" t="str">
        <f>'Part VI-Revenues &amp; Expenses'!R23</f>
        <v/>
      </c>
      <c r="S766" s="1552">
        <f>'Part VI-Revenues &amp; Expenses'!S23</f>
        <v>0</v>
      </c>
      <c r="T766" s="1553">
        <f>'Part VI-Revenues &amp; Expenses'!T23</f>
        <v>0</v>
      </c>
      <c r="U766" s="1477"/>
      <c r="V766" s="1477"/>
      <c r="W766" s="531" t="str">
        <f t="shared" si="3"/>
        <v/>
      </c>
      <c r="X766" s="531" t="str">
        <f t="shared" si="4"/>
        <v/>
      </c>
      <c r="Y766" s="531" t="str">
        <f t="shared" si="5"/>
        <v/>
      </c>
      <c r="Z766" s="531" t="str">
        <f t="shared" si="6"/>
        <v/>
      </c>
      <c r="AA766" s="531" t="str">
        <f t="shared" si="7"/>
        <v/>
      </c>
      <c r="AB766" s="531" t="str">
        <f t="shared" si="8"/>
        <v/>
      </c>
      <c r="AC766" s="531" t="str">
        <f t="shared" si="9"/>
        <v/>
      </c>
      <c r="AD766" s="531" t="str">
        <f t="shared" si="10"/>
        <v/>
      </c>
      <c r="AE766" s="531" t="str">
        <f t="shared" si="11"/>
        <v/>
      </c>
      <c r="AF766" s="531" t="str">
        <f t="shared" si="12"/>
        <v/>
      </c>
      <c r="AG766" s="531" t="str">
        <f t="shared" si="13"/>
        <v/>
      </c>
      <c r="AH766" s="531" t="str">
        <f t="shared" si="14"/>
        <v/>
      </c>
      <c r="AI766" s="531" t="str">
        <f t="shared" si="15"/>
        <v/>
      </c>
      <c r="AJ766" s="531" t="str">
        <f t="shared" si="16"/>
        <v/>
      </c>
      <c r="AK766" s="531" t="str">
        <f t="shared" si="17"/>
        <v/>
      </c>
      <c r="AL766" s="531" t="str">
        <f t="shared" si="18"/>
        <v/>
      </c>
      <c r="AM766" s="531" t="str">
        <f t="shared" si="19"/>
        <v/>
      </c>
      <c r="AN766" s="531" t="str">
        <f t="shared" si="20"/>
        <v/>
      </c>
      <c r="AO766" s="531" t="str">
        <f t="shared" si="21"/>
        <v/>
      </c>
      <c r="AP766" s="531" t="str">
        <f t="shared" si="22"/>
        <v/>
      </c>
      <c r="AQ766" s="531" t="str">
        <f t="shared" si="23"/>
        <v/>
      </c>
      <c r="AR766" s="531" t="str">
        <f t="shared" si="24"/>
        <v/>
      </c>
      <c r="AS766" s="531" t="str">
        <f t="shared" si="25"/>
        <v/>
      </c>
      <c r="AT766" s="531" t="str">
        <f t="shared" si="26"/>
        <v/>
      </c>
      <c r="AU766" s="531" t="str">
        <f t="shared" si="27"/>
        <v/>
      </c>
      <c r="AV766" s="531" t="str">
        <f t="shared" si="28"/>
        <v/>
      </c>
      <c r="AW766" s="531" t="str">
        <f t="shared" si="29"/>
        <v/>
      </c>
      <c r="AX766" s="531" t="str">
        <f t="shared" si="30"/>
        <v/>
      </c>
      <c r="AY766" s="531" t="str">
        <f t="shared" si="31"/>
        <v/>
      </c>
      <c r="AZ766" s="531" t="str">
        <f t="shared" si="32"/>
        <v/>
      </c>
      <c r="BA766" s="531" t="str">
        <f t="shared" si="33"/>
        <v/>
      </c>
      <c r="BB766" s="531" t="str">
        <f t="shared" si="34"/>
        <v/>
      </c>
      <c r="BC766" s="531" t="str">
        <f t="shared" si="35"/>
        <v/>
      </c>
      <c r="BD766" s="531" t="str">
        <f t="shared" si="36"/>
        <v/>
      </c>
      <c r="BE766" s="531" t="str">
        <f t="shared" si="37"/>
        <v/>
      </c>
      <c r="BF766" s="531" t="str">
        <f t="shared" si="38"/>
        <v/>
      </c>
      <c r="BG766" s="531" t="str">
        <f t="shared" si="39"/>
        <v/>
      </c>
      <c r="BH766" s="531" t="str">
        <f t="shared" si="40"/>
        <v/>
      </c>
      <c r="BI766" s="531" t="str">
        <f t="shared" si="41"/>
        <v/>
      </c>
      <c r="BJ766" s="531" t="str">
        <f t="shared" si="42"/>
        <v/>
      </c>
      <c r="BK766" s="531" t="str">
        <f t="shared" si="43"/>
        <v/>
      </c>
      <c r="BL766" s="531" t="str">
        <f t="shared" si="44"/>
        <v/>
      </c>
      <c r="BM766" s="531" t="str">
        <f t="shared" si="45"/>
        <v/>
      </c>
      <c r="BN766" s="531" t="str">
        <f t="shared" si="46"/>
        <v/>
      </c>
      <c r="BO766" s="531" t="str">
        <f t="shared" si="47"/>
        <v/>
      </c>
      <c r="BP766" s="531" t="str">
        <f t="shared" si="48"/>
        <v/>
      </c>
      <c r="BQ766" s="531" t="str">
        <f t="shared" si="49"/>
        <v/>
      </c>
      <c r="BR766" s="531" t="str">
        <f t="shared" si="50"/>
        <v/>
      </c>
      <c r="BS766" s="531" t="str">
        <f t="shared" si="51"/>
        <v/>
      </c>
      <c r="BT766" s="531" t="str">
        <f t="shared" si="52"/>
        <v/>
      </c>
      <c r="BU766" s="531" t="str">
        <f t="shared" si="53"/>
        <v/>
      </c>
      <c r="BV766" s="531" t="str">
        <f t="shared" si="54"/>
        <v/>
      </c>
      <c r="BW766" s="531" t="str">
        <f t="shared" si="55"/>
        <v/>
      </c>
      <c r="BX766" s="531" t="str">
        <f t="shared" si="56"/>
        <v/>
      </c>
      <c r="BY766" s="531" t="str">
        <f t="shared" si="57"/>
        <v/>
      </c>
      <c r="BZ766" s="531" t="str">
        <f t="shared" si="58"/>
        <v/>
      </c>
      <c r="CA766" s="531" t="str">
        <f t="shared" si="59"/>
        <v/>
      </c>
      <c r="CB766" s="531" t="str">
        <f t="shared" si="60"/>
        <v/>
      </c>
      <c r="CC766" s="531" t="str">
        <f t="shared" si="61"/>
        <v/>
      </c>
      <c r="CD766" s="531" t="str">
        <f t="shared" si="62"/>
        <v/>
      </c>
      <c r="CE766" s="531" t="str">
        <f t="shared" si="63"/>
        <v/>
      </c>
      <c r="CF766" s="531" t="str">
        <f t="shared" si="64"/>
        <v/>
      </c>
      <c r="CG766" s="531" t="str">
        <f t="shared" si="65"/>
        <v/>
      </c>
      <c r="CH766" s="531" t="str">
        <f t="shared" si="66"/>
        <v/>
      </c>
      <c r="CI766" s="531" t="str">
        <f t="shared" si="67"/>
        <v/>
      </c>
      <c r="CJ766" s="531" t="str">
        <f t="shared" si="68"/>
        <v/>
      </c>
      <c r="CK766" s="531" t="str">
        <f t="shared" si="69"/>
        <v/>
      </c>
      <c r="CL766" s="531" t="str">
        <f t="shared" si="70"/>
        <v/>
      </c>
      <c r="CM766" s="531" t="str">
        <f t="shared" si="71"/>
        <v/>
      </c>
      <c r="CN766" s="531" t="str">
        <f t="shared" si="72"/>
        <v/>
      </c>
      <c r="CO766" s="531" t="str">
        <f t="shared" si="73"/>
        <v/>
      </c>
      <c r="CP766" s="531" t="str">
        <f t="shared" si="74"/>
        <v/>
      </c>
      <c r="CQ766" s="531" t="str">
        <f t="shared" si="75"/>
        <v/>
      </c>
      <c r="CR766" s="531" t="str">
        <f t="shared" si="76"/>
        <v/>
      </c>
      <c r="CS766" s="531" t="str">
        <f t="shared" si="77"/>
        <v/>
      </c>
      <c r="CT766" s="531" t="str">
        <f t="shared" si="78"/>
        <v/>
      </c>
      <c r="CU766" s="531" t="str">
        <f t="shared" si="79"/>
        <v/>
      </c>
      <c r="CV766" s="531" t="str">
        <f t="shared" si="80"/>
        <v/>
      </c>
      <c r="CW766" s="531" t="str">
        <f t="shared" si="81"/>
        <v/>
      </c>
      <c r="CX766" s="531" t="str">
        <f t="shared" si="82"/>
        <v/>
      </c>
      <c r="CY766" s="531" t="str">
        <f t="shared" si="83"/>
        <v/>
      </c>
      <c r="CZ766" s="531" t="str">
        <f t="shared" si="84"/>
        <v/>
      </c>
      <c r="DA766" s="531" t="str">
        <f t="shared" si="85"/>
        <v/>
      </c>
      <c r="DB766" s="531" t="str">
        <f t="shared" si="86"/>
        <v/>
      </c>
      <c r="DC766" s="531" t="str">
        <f t="shared" si="87"/>
        <v/>
      </c>
      <c r="DD766" s="531" t="str">
        <f t="shared" si="88"/>
        <v/>
      </c>
      <c r="DE766" s="531" t="str">
        <f t="shared" si="89"/>
        <v/>
      </c>
      <c r="DF766" s="531" t="str">
        <f t="shared" si="90"/>
        <v/>
      </c>
      <c r="DG766" s="531" t="str">
        <f t="shared" si="91"/>
        <v/>
      </c>
      <c r="DH766" s="531" t="str">
        <f t="shared" si="92"/>
        <v/>
      </c>
      <c r="DI766" s="531" t="str">
        <f t="shared" si="93"/>
        <v/>
      </c>
      <c r="DJ766" s="531" t="str">
        <f t="shared" si="94"/>
        <v/>
      </c>
      <c r="DK766" s="531" t="str">
        <f t="shared" si="95"/>
        <v/>
      </c>
      <c r="DL766" s="531" t="str">
        <f t="shared" si="96"/>
        <v/>
      </c>
      <c r="DM766" s="531" t="str">
        <f t="shared" si="97"/>
        <v/>
      </c>
      <c r="DN766" s="531" t="str">
        <f t="shared" si="98"/>
        <v/>
      </c>
      <c r="DO766" s="531" t="str">
        <f t="shared" si="99"/>
        <v/>
      </c>
      <c r="DP766" s="531" t="str">
        <f t="shared" si="100"/>
        <v/>
      </c>
      <c r="DQ766" s="531" t="str">
        <f t="shared" si="101"/>
        <v/>
      </c>
      <c r="DR766" s="531" t="str">
        <f t="shared" si="102"/>
        <v/>
      </c>
      <c r="DS766" s="531" t="str">
        <f t="shared" si="103"/>
        <v/>
      </c>
      <c r="DT766" s="531" t="str">
        <f t="shared" si="104"/>
        <v/>
      </c>
      <c r="DU766" s="531" t="str">
        <f t="shared" si="105"/>
        <v/>
      </c>
      <c r="DV766" s="531" t="str">
        <f t="shared" si="106"/>
        <v/>
      </c>
      <c r="DW766" s="531" t="str">
        <f t="shared" si="107"/>
        <v/>
      </c>
      <c r="DX766" s="531" t="str">
        <f t="shared" si="108"/>
        <v/>
      </c>
      <c r="DY766" s="531" t="str">
        <f t="shared" si="109"/>
        <v/>
      </c>
      <c r="DZ766" s="531" t="str">
        <f t="shared" si="110"/>
        <v/>
      </c>
      <c r="EA766" s="531" t="str">
        <f t="shared" si="111"/>
        <v/>
      </c>
      <c r="EB766" s="531" t="str">
        <f t="shared" si="112"/>
        <v/>
      </c>
      <c r="EC766" s="531" t="str">
        <f t="shared" si="113"/>
        <v/>
      </c>
      <c r="ED766" s="531" t="str">
        <f t="shared" si="114"/>
        <v/>
      </c>
      <c r="EE766" s="531" t="str">
        <f t="shared" si="115"/>
        <v/>
      </c>
      <c r="EF766" s="531" t="str">
        <f t="shared" si="116"/>
        <v/>
      </c>
      <c r="EG766" s="531" t="str">
        <f t="shared" si="117"/>
        <v/>
      </c>
      <c r="EH766" s="531" t="str">
        <f t="shared" si="118"/>
        <v/>
      </c>
      <c r="EI766" s="531" t="str">
        <f t="shared" si="119"/>
        <v/>
      </c>
      <c r="EJ766" s="531" t="str">
        <f t="shared" si="120"/>
        <v/>
      </c>
      <c r="EK766" s="531" t="str">
        <f t="shared" si="121"/>
        <v/>
      </c>
      <c r="EL766" s="531" t="str">
        <f t="shared" si="122"/>
        <v/>
      </c>
      <c r="EM766" s="531" t="str">
        <f t="shared" si="123"/>
        <v/>
      </c>
      <c r="EN766" s="531" t="str">
        <f t="shared" si="124"/>
        <v/>
      </c>
      <c r="EO766" s="531" t="str">
        <f t="shared" si="125"/>
        <v/>
      </c>
      <c r="EP766" s="531" t="str">
        <f t="shared" si="126"/>
        <v/>
      </c>
      <c r="EQ766" s="531" t="str">
        <f t="shared" si="127"/>
        <v/>
      </c>
      <c r="ER766" s="531" t="str">
        <f t="shared" si="128"/>
        <v/>
      </c>
      <c r="ES766" s="531" t="str">
        <f t="shared" si="129"/>
        <v/>
      </c>
      <c r="ET766" s="531" t="str">
        <f t="shared" si="130"/>
        <v/>
      </c>
      <c r="EU766" s="531" t="str">
        <f t="shared" si="131"/>
        <v/>
      </c>
      <c r="EV766" s="531" t="str">
        <f t="shared" si="132"/>
        <v/>
      </c>
      <c r="EW766" s="1554" t="str">
        <f t="shared" si="133"/>
        <v/>
      </c>
      <c r="EX766" s="1554" t="str">
        <f t="shared" si="134"/>
        <v/>
      </c>
      <c r="EY766" s="1554" t="str">
        <f t="shared" si="135"/>
        <v/>
      </c>
      <c r="EZ766" s="1554" t="str">
        <f t="shared" si="136"/>
        <v/>
      </c>
      <c r="FA766" s="1554" t="str">
        <f t="shared" si="137"/>
        <v/>
      </c>
      <c r="FB766" s="1554" t="str">
        <f t="shared" si="138"/>
        <v/>
      </c>
      <c r="FC766" s="1554" t="str">
        <f t="shared" si="139"/>
        <v/>
      </c>
      <c r="FD766" s="1554" t="str">
        <f t="shared" si="140"/>
        <v/>
      </c>
      <c r="FE766" s="1554" t="str">
        <f t="shared" si="141"/>
        <v/>
      </c>
      <c r="FF766" s="1554" t="str">
        <f t="shared" si="142"/>
        <v/>
      </c>
      <c r="FG766" s="1554" t="str">
        <f t="shared" si="143"/>
        <v/>
      </c>
      <c r="FH766" s="1554" t="str">
        <f t="shared" si="144"/>
        <v/>
      </c>
      <c r="FI766" s="1554" t="str">
        <f t="shared" si="145"/>
        <v/>
      </c>
      <c r="FJ766" s="1554" t="str">
        <f t="shared" si="146"/>
        <v/>
      </c>
      <c r="FK766" s="1554" t="str">
        <f t="shared" si="147"/>
        <v/>
      </c>
      <c r="FL766" s="1554" t="str">
        <f t="shared" si="148"/>
        <v/>
      </c>
      <c r="FM766" s="1554" t="str">
        <f t="shared" si="149"/>
        <v/>
      </c>
      <c r="FN766" s="1554" t="str">
        <f t="shared" si="150"/>
        <v/>
      </c>
      <c r="FO766" s="1554" t="str">
        <f t="shared" si="151"/>
        <v/>
      </c>
      <c r="FP766" s="1554" t="str">
        <f t="shared" si="152"/>
        <v/>
      </c>
      <c r="FQ766" s="1554" t="str">
        <f t="shared" si="153"/>
        <v/>
      </c>
      <c r="FR766" s="1554" t="str">
        <f t="shared" si="154"/>
        <v/>
      </c>
      <c r="FS766" s="1554" t="str">
        <f t="shared" si="155"/>
        <v/>
      </c>
      <c r="FT766" s="1554" t="str">
        <f t="shared" si="156"/>
        <v/>
      </c>
      <c r="FU766" s="1554" t="str">
        <f t="shared" si="157"/>
        <v/>
      </c>
      <c r="FV766" s="1554" t="str">
        <f t="shared" si="158"/>
        <v/>
      </c>
      <c r="FW766" s="1554" t="str">
        <f t="shared" si="159"/>
        <v/>
      </c>
      <c r="FX766" s="1554" t="str">
        <f t="shared" si="160"/>
        <v/>
      </c>
      <c r="FY766" s="1554" t="str">
        <f t="shared" si="161"/>
        <v/>
      </c>
      <c r="FZ766" s="1554" t="str">
        <f t="shared" si="162"/>
        <v/>
      </c>
      <c r="GA766" s="1554" t="str">
        <f t="shared" si="163"/>
        <v/>
      </c>
      <c r="GB766" s="1554" t="str">
        <f t="shared" si="164"/>
        <v/>
      </c>
      <c r="GC766" s="1554" t="str">
        <f t="shared" si="165"/>
        <v/>
      </c>
      <c r="GD766" s="1554" t="str">
        <f t="shared" si="166"/>
        <v/>
      </c>
      <c r="GE766" s="1554" t="str">
        <f t="shared" si="167"/>
        <v/>
      </c>
      <c r="GF766" s="1554" t="str">
        <f t="shared" si="168"/>
        <v/>
      </c>
      <c r="GG766" s="1554" t="str">
        <f t="shared" si="169"/>
        <v/>
      </c>
      <c r="GH766" s="1554" t="str">
        <f t="shared" si="170"/>
        <v/>
      </c>
      <c r="GI766" s="1554" t="str">
        <f t="shared" si="171"/>
        <v/>
      </c>
      <c r="GJ766" s="1554" t="str">
        <f t="shared" si="172"/>
        <v/>
      </c>
      <c r="GK766" s="1554" t="str">
        <f t="shared" si="173"/>
        <v/>
      </c>
      <c r="GL766" s="1554" t="str">
        <f t="shared" si="174"/>
        <v/>
      </c>
      <c r="GM766" s="1554" t="str">
        <f t="shared" si="175"/>
        <v/>
      </c>
      <c r="GN766" s="1554" t="str">
        <f t="shared" si="176"/>
        <v/>
      </c>
      <c r="GO766" s="1554" t="str">
        <f t="shared" si="177"/>
        <v/>
      </c>
      <c r="GP766" s="1554" t="str">
        <f t="shared" si="178"/>
        <v/>
      </c>
      <c r="GQ766" s="1554" t="str">
        <f t="shared" si="179"/>
        <v/>
      </c>
      <c r="GR766" s="1554" t="str">
        <f t="shared" si="180"/>
        <v/>
      </c>
      <c r="GS766" s="1554" t="str">
        <f t="shared" si="181"/>
        <v/>
      </c>
      <c r="GT766" s="1554" t="str">
        <f t="shared" si="182"/>
        <v/>
      </c>
      <c r="GU766" s="1554" t="str">
        <f t="shared" si="183"/>
        <v/>
      </c>
      <c r="GV766" s="1554" t="str">
        <f t="shared" si="184"/>
        <v/>
      </c>
      <c r="GW766" s="1554" t="str">
        <f t="shared" si="185"/>
        <v/>
      </c>
      <c r="GX766" s="1554" t="str">
        <f t="shared" si="186"/>
        <v/>
      </c>
      <c r="GY766" s="1554" t="str">
        <f t="shared" si="187"/>
        <v/>
      </c>
      <c r="GZ766" s="1554" t="str">
        <f t="shared" si="188"/>
        <v/>
      </c>
      <c r="HA766" s="1554" t="str">
        <f t="shared" si="189"/>
        <v/>
      </c>
      <c r="HB766" s="1554" t="str">
        <f t="shared" si="190"/>
        <v/>
      </c>
      <c r="HC766" s="1554" t="str">
        <f t="shared" si="191"/>
        <v/>
      </c>
      <c r="HD766" s="1554" t="str">
        <f t="shared" si="192"/>
        <v/>
      </c>
      <c r="HE766" s="1554" t="str">
        <f t="shared" si="193"/>
        <v/>
      </c>
      <c r="HF766" s="1554" t="str">
        <f t="shared" si="194"/>
        <v/>
      </c>
      <c r="HG766" s="1554" t="str">
        <f t="shared" si="195"/>
        <v/>
      </c>
      <c r="HH766" s="1554" t="str">
        <f t="shared" si="196"/>
        <v/>
      </c>
      <c r="HI766" s="1554" t="str">
        <f t="shared" si="197"/>
        <v/>
      </c>
      <c r="HJ766" s="1554" t="str">
        <f t="shared" si="198"/>
        <v/>
      </c>
      <c r="HK766" s="1554" t="str">
        <f t="shared" si="199"/>
        <v/>
      </c>
      <c r="HL766" s="1554" t="str">
        <f t="shared" si="200"/>
        <v/>
      </c>
      <c r="HM766" s="1554" t="str">
        <f t="shared" si="201"/>
        <v/>
      </c>
      <c r="HN766" s="1554" t="str">
        <f t="shared" si="202"/>
        <v/>
      </c>
      <c r="HO766" s="1554" t="str">
        <f t="shared" si="203"/>
        <v/>
      </c>
      <c r="HP766" s="1554" t="str">
        <f t="shared" si="204"/>
        <v/>
      </c>
      <c r="HQ766" s="1554" t="str">
        <f t="shared" si="205"/>
        <v/>
      </c>
      <c r="HR766" s="1554" t="str">
        <f t="shared" si="206"/>
        <v/>
      </c>
      <c r="HS766" s="1554" t="str">
        <f t="shared" si="207"/>
        <v/>
      </c>
      <c r="HT766" s="1554" t="str">
        <f t="shared" si="208"/>
        <v/>
      </c>
      <c r="HU766" s="1554" t="str">
        <f t="shared" si="209"/>
        <v/>
      </c>
      <c r="HV766" s="1554" t="str">
        <f t="shared" si="210"/>
        <v/>
      </c>
      <c r="HW766" s="1554" t="str">
        <f t="shared" si="211"/>
        <v/>
      </c>
      <c r="HX766" s="1554" t="str">
        <f t="shared" si="212"/>
        <v/>
      </c>
      <c r="HY766" s="1554" t="str">
        <f t="shared" si="213"/>
        <v/>
      </c>
      <c r="HZ766" s="1554" t="str">
        <f t="shared" si="214"/>
        <v/>
      </c>
      <c r="IA766" s="1554" t="str">
        <f t="shared" si="215"/>
        <v/>
      </c>
      <c r="IB766" s="1554" t="str">
        <f t="shared" si="216"/>
        <v/>
      </c>
      <c r="IC766" s="1554" t="str">
        <f t="shared" si="217"/>
        <v/>
      </c>
      <c r="ID766" s="31" t="str">
        <f t="shared" si="218"/>
        <v/>
      </c>
      <c r="IE766" s="31" t="str">
        <f t="shared" si="219"/>
        <v/>
      </c>
      <c r="IF766" s="31" t="str">
        <f t="shared" si="220"/>
        <v/>
      </c>
      <c r="IG766" s="31" t="str">
        <f t="shared" si="221"/>
        <v/>
      </c>
      <c r="IH766" s="31" t="str">
        <f t="shared" si="222"/>
        <v/>
      </c>
      <c r="II766" s="531" t="str">
        <f t="shared" si="223"/>
        <v/>
      </c>
      <c r="IJ766" s="531" t="str">
        <f t="shared" si="224"/>
        <v/>
      </c>
      <c r="IK766" s="531" t="str">
        <f t="shared" si="225"/>
        <v/>
      </c>
      <c r="IL766" s="531" t="str">
        <f t="shared" si="226"/>
        <v/>
      </c>
      <c r="IM766" s="531" t="str">
        <f t="shared" si="227"/>
        <v/>
      </c>
      <c r="IN766" s="531" t="str">
        <f t="shared" si="228"/>
        <v/>
      </c>
      <c r="IO766" s="531" t="str">
        <f t="shared" si="229"/>
        <v/>
      </c>
      <c r="IP766" s="531" t="str">
        <f t="shared" si="230"/>
        <v/>
      </c>
      <c r="IQ766" s="531" t="str">
        <f t="shared" si="231"/>
        <v/>
      </c>
      <c r="IR766" s="531" t="str">
        <f t="shared" si="232"/>
        <v/>
      </c>
      <c r="IS766" s="531" t="str">
        <f t="shared" si="233"/>
        <v/>
      </c>
      <c r="IT766" s="531" t="str">
        <f t="shared" si="234"/>
        <v/>
      </c>
      <c r="IU766" s="531" t="str">
        <f t="shared" si="235"/>
        <v/>
      </c>
      <c r="IV766" s="531" t="str">
        <f t="shared" si="236"/>
        <v/>
      </c>
      <c r="IW766" s="531" t="str">
        <f t="shared" si="237"/>
        <v/>
      </c>
      <c r="IX766" s="531" t="str">
        <f t="shared" si="238"/>
        <v/>
      </c>
      <c r="IY766" s="531" t="str">
        <f t="shared" si="239"/>
        <v/>
      </c>
      <c r="IZ766" s="531" t="str">
        <f t="shared" si="240"/>
        <v/>
      </c>
      <c r="JA766" s="531" t="str">
        <f t="shared" si="241"/>
        <v/>
      </c>
      <c r="JB766" s="531" t="str">
        <f t="shared" si="242"/>
        <v/>
      </c>
      <c r="JC766" s="615">
        <f t="shared" si="243"/>
        <v>0</v>
      </c>
      <c r="JD766" s="615">
        <f t="shared" si="244"/>
        <v>0</v>
      </c>
      <c r="JE766" s="615">
        <f t="shared" si="245"/>
        <v>0</v>
      </c>
      <c r="JF766" s="615">
        <f t="shared" si="246"/>
        <v>0</v>
      </c>
      <c r="JG766" s="615">
        <f t="shared" si="247"/>
        <v>0</v>
      </c>
      <c r="JH766" s="615">
        <f t="shared" si="248"/>
        <v>0</v>
      </c>
      <c r="JI766" s="615">
        <f t="shared" si="249"/>
        <v>0</v>
      </c>
      <c r="JJ766" s="615">
        <f t="shared" si="250"/>
        <v>0</v>
      </c>
      <c r="JK766" s="615">
        <f t="shared" si="251"/>
        <v>0</v>
      </c>
      <c r="JL766" s="615">
        <f t="shared" si="252"/>
        <v>0</v>
      </c>
      <c r="JM766" s="615">
        <f t="shared" si="253"/>
        <v>0</v>
      </c>
      <c r="JN766" s="615">
        <f t="shared" si="254"/>
        <v>0</v>
      </c>
      <c r="JO766" s="615">
        <f t="shared" si="255"/>
        <v>0</v>
      </c>
      <c r="JP766" s="615">
        <f t="shared" si="256"/>
        <v>0</v>
      </c>
      <c r="JQ766" s="615">
        <f t="shared" si="257"/>
        <v>0</v>
      </c>
    </row>
    <row r="767" spans="1:277" ht="12" customHeight="1">
      <c r="A767" s="1190" t="str">
        <f t="shared" si="0"/>
        <v/>
      </c>
      <c r="B767" s="1545" t="str">
        <f>'Part VI-Revenues &amp; Expenses'!B24</f>
        <v>&lt;&lt;Select&gt;&gt;</v>
      </c>
      <c r="C767" s="1546">
        <f>'Part VI-Revenues &amp; Expenses'!C24</f>
        <v>0</v>
      </c>
      <c r="D767" s="1547">
        <f>'Part VI-Revenues &amp; Expenses'!D24</f>
        <v>0</v>
      </c>
      <c r="E767" s="1548">
        <f>'Part VI-Revenues &amp; Expenses'!E24</f>
        <v>0</v>
      </c>
      <c r="F767" s="1548">
        <f>'Part VI-Revenues &amp; Expenses'!F24</f>
        <v>0</v>
      </c>
      <c r="G767" s="1548">
        <f>'Part VI-Revenues &amp; Expenses'!G24</f>
        <v>0</v>
      </c>
      <c r="H767" s="1548">
        <f>'Part VI-Revenues &amp; Expenses'!H24</f>
        <v>0</v>
      </c>
      <c r="I767" s="1548">
        <f>'Part VI-Revenues &amp; Expenses'!I24</f>
        <v>0</v>
      </c>
      <c r="J767" s="1549">
        <f>'Part VI-Revenues &amp; Expenses'!J24</f>
        <v>0</v>
      </c>
      <c r="K767" s="1550">
        <f t="shared" si="1"/>
        <v>0</v>
      </c>
      <c r="L767" s="1550">
        <f t="shared" si="2"/>
        <v>0</v>
      </c>
      <c r="M767" s="1551">
        <f>'Part VI-Revenues &amp; Expenses'!M24</f>
        <v>0</v>
      </c>
      <c r="N767" s="1551">
        <f>'Part VI-Revenues &amp; Expenses'!N24</f>
        <v>0</v>
      </c>
      <c r="O767" s="1551">
        <f>'Part VI-Revenues &amp; Expenses'!O24</f>
        <v>0</v>
      </c>
      <c r="P767" s="1406">
        <f>'Part VI-Revenues &amp; Expenses'!P24</f>
        <v>0</v>
      </c>
      <c r="Q767" s="1552" t="str">
        <f>'Part VI-Revenues &amp; Expenses'!Q24</f>
        <v/>
      </c>
      <c r="R767" s="1553" t="str">
        <f>'Part VI-Revenues &amp; Expenses'!R24</f>
        <v/>
      </c>
      <c r="S767" s="1552">
        <f>'Part VI-Revenues &amp; Expenses'!S24</f>
        <v>0</v>
      </c>
      <c r="T767" s="1553">
        <f>'Part VI-Revenues &amp; Expenses'!T24</f>
        <v>0</v>
      </c>
      <c r="U767" s="1477"/>
      <c r="V767" s="1477"/>
      <c r="W767" s="531" t="str">
        <f t="shared" si="3"/>
        <v/>
      </c>
      <c r="X767" s="531" t="str">
        <f t="shared" si="4"/>
        <v/>
      </c>
      <c r="Y767" s="531" t="str">
        <f t="shared" si="5"/>
        <v/>
      </c>
      <c r="Z767" s="531" t="str">
        <f t="shared" si="6"/>
        <v/>
      </c>
      <c r="AA767" s="531" t="str">
        <f t="shared" si="7"/>
        <v/>
      </c>
      <c r="AB767" s="531" t="str">
        <f t="shared" si="8"/>
        <v/>
      </c>
      <c r="AC767" s="531" t="str">
        <f t="shared" si="9"/>
        <v/>
      </c>
      <c r="AD767" s="531" t="str">
        <f t="shared" si="10"/>
        <v/>
      </c>
      <c r="AE767" s="531" t="str">
        <f t="shared" si="11"/>
        <v/>
      </c>
      <c r="AF767" s="531" t="str">
        <f t="shared" si="12"/>
        <v/>
      </c>
      <c r="AG767" s="531" t="str">
        <f t="shared" si="13"/>
        <v/>
      </c>
      <c r="AH767" s="531" t="str">
        <f t="shared" si="14"/>
        <v/>
      </c>
      <c r="AI767" s="531" t="str">
        <f t="shared" si="15"/>
        <v/>
      </c>
      <c r="AJ767" s="531" t="str">
        <f t="shared" si="16"/>
        <v/>
      </c>
      <c r="AK767" s="531" t="str">
        <f t="shared" si="17"/>
        <v/>
      </c>
      <c r="AL767" s="531" t="str">
        <f t="shared" si="18"/>
        <v/>
      </c>
      <c r="AM767" s="531" t="str">
        <f t="shared" si="19"/>
        <v/>
      </c>
      <c r="AN767" s="531" t="str">
        <f t="shared" si="20"/>
        <v/>
      </c>
      <c r="AO767" s="531" t="str">
        <f t="shared" si="21"/>
        <v/>
      </c>
      <c r="AP767" s="531" t="str">
        <f t="shared" si="22"/>
        <v/>
      </c>
      <c r="AQ767" s="531" t="str">
        <f t="shared" si="23"/>
        <v/>
      </c>
      <c r="AR767" s="531" t="str">
        <f t="shared" si="24"/>
        <v/>
      </c>
      <c r="AS767" s="531" t="str">
        <f t="shared" si="25"/>
        <v/>
      </c>
      <c r="AT767" s="531" t="str">
        <f t="shared" si="26"/>
        <v/>
      </c>
      <c r="AU767" s="531" t="str">
        <f t="shared" si="27"/>
        <v/>
      </c>
      <c r="AV767" s="531" t="str">
        <f t="shared" si="28"/>
        <v/>
      </c>
      <c r="AW767" s="531" t="str">
        <f t="shared" si="29"/>
        <v/>
      </c>
      <c r="AX767" s="531" t="str">
        <f t="shared" si="30"/>
        <v/>
      </c>
      <c r="AY767" s="531" t="str">
        <f t="shared" si="31"/>
        <v/>
      </c>
      <c r="AZ767" s="531" t="str">
        <f t="shared" si="32"/>
        <v/>
      </c>
      <c r="BA767" s="531" t="str">
        <f t="shared" si="33"/>
        <v/>
      </c>
      <c r="BB767" s="531" t="str">
        <f t="shared" si="34"/>
        <v/>
      </c>
      <c r="BC767" s="531" t="str">
        <f t="shared" si="35"/>
        <v/>
      </c>
      <c r="BD767" s="531" t="str">
        <f t="shared" si="36"/>
        <v/>
      </c>
      <c r="BE767" s="531" t="str">
        <f t="shared" si="37"/>
        <v/>
      </c>
      <c r="BF767" s="531" t="str">
        <f t="shared" si="38"/>
        <v/>
      </c>
      <c r="BG767" s="531" t="str">
        <f t="shared" si="39"/>
        <v/>
      </c>
      <c r="BH767" s="531" t="str">
        <f t="shared" si="40"/>
        <v/>
      </c>
      <c r="BI767" s="531" t="str">
        <f t="shared" si="41"/>
        <v/>
      </c>
      <c r="BJ767" s="531" t="str">
        <f t="shared" si="42"/>
        <v/>
      </c>
      <c r="BK767" s="531" t="str">
        <f t="shared" si="43"/>
        <v/>
      </c>
      <c r="BL767" s="531" t="str">
        <f t="shared" si="44"/>
        <v/>
      </c>
      <c r="BM767" s="531" t="str">
        <f t="shared" si="45"/>
        <v/>
      </c>
      <c r="BN767" s="531" t="str">
        <f t="shared" si="46"/>
        <v/>
      </c>
      <c r="BO767" s="531" t="str">
        <f t="shared" si="47"/>
        <v/>
      </c>
      <c r="BP767" s="531" t="str">
        <f t="shared" si="48"/>
        <v/>
      </c>
      <c r="BQ767" s="531" t="str">
        <f t="shared" si="49"/>
        <v/>
      </c>
      <c r="BR767" s="531" t="str">
        <f t="shared" si="50"/>
        <v/>
      </c>
      <c r="BS767" s="531" t="str">
        <f t="shared" si="51"/>
        <v/>
      </c>
      <c r="BT767" s="531" t="str">
        <f t="shared" si="52"/>
        <v/>
      </c>
      <c r="BU767" s="531" t="str">
        <f t="shared" si="53"/>
        <v/>
      </c>
      <c r="BV767" s="531" t="str">
        <f t="shared" si="54"/>
        <v/>
      </c>
      <c r="BW767" s="531" t="str">
        <f t="shared" si="55"/>
        <v/>
      </c>
      <c r="BX767" s="531" t="str">
        <f t="shared" si="56"/>
        <v/>
      </c>
      <c r="BY767" s="531" t="str">
        <f t="shared" si="57"/>
        <v/>
      </c>
      <c r="BZ767" s="531" t="str">
        <f t="shared" si="58"/>
        <v/>
      </c>
      <c r="CA767" s="531" t="str">
        <f t="shared" si="59"/>
        <v/>
      </c>
      <c r="CB767" s="531" t="str">
        <f t="shared" si="60"/>
        <v/>
      </c>
      <c r="CC767" s="531" t="str">
        <f t="shared" si="61"/>
        <v/>
      </c>
      <c r="CD767" s="531" t="str">
        <f t="shared" si="62"/>
        <v/>
      </c>
      <c r="CE767" s="531" t="str">
        <f t="shared" si="63"/>
        <v/>
      </c>
      <c r="CF767" s="531" t="str">
        <f t="shared" si="64"/>
        <v/>
      </c>
      <c r="CG767" s="531" t="str">
        <f t="shared" si="65"/>
        <v/>
      </c>
      <c r="CH767" s="531" t="str">
        <f t="shared" si="66"/>
        <v/>
      </c>
      <c r="CI767" s="531" t="str">
        <f t="shared" si="67"/>
        <v/>
      </c>
      <c r="CJ767" s="531" t="str">
        <f t="shared" si="68"/>
        <v/>
      </c>
      <c r="CK767" s="531" t="str">
        <f t="shared" si="69"/>
        <v/>
      </c>
      <c r="CL767" s="531" t="str">
        <f t="shared" si="70"/>
        <v/>
      </c>
      <c r="CM767" s="531" t="str">
        <f t="shared" si="71"/>
        <v/>
      </c>
      <c r="CN767" s="531" t="str">
        <f t="shared" si="72"/>
        <v/>
      </c>
      <c r="CO767" s="531" t="str">
        <f t="shared" si="73"/>
        <v/>
      </c>
      <c r="CP767" s="531" t="str">
        <f t="shared" si="74"/>
        <v/>
      </c>
      <c r="CQ767" s="531" t="str">
        <f t="shared" si="75"/>
        <v/>
      </c>
      <c r="CR767" s="531" t="str">
        <f t="shared" si="76"/>
        <v/>
      </c>
      <c r="CS767" s="531" t="str">
        <f t="shared" si="77"/>
        <v/>
      </c>
      <c r="CT767" s="531" t="str">
        <f t="shared" si="78"/>
        <v/>
      </c>
      <c r="CU767" s="531" t="str">
        <f t="shared" si="79"/>
        <v/>
      </c>
      <c r="CV767" s="531" t="str">
        <f t="shared" si="80"/>
        <v/>
      </c>
      <c r="CW767" s="531" t="str">
        <f t="shared" si="81"/>
        <v/>
      </c>
      <c r="CX767" s="531" t="str">
        <f t="shared" si="82"/>
        <v/>
      </c>
      <c r="CY767" s="531" t="str">
        <f t="shared" si="83"/>
        <v/>
      </c>
      <c r="CZ767" s="531" t="str">
        <f t="shared" si="84"/>
        <v/>
      </c>
      <c r="DA767" s="531" t="str">
        <f t="shared" si="85"/>
        <v/>
      </c>
      <c r="DB767" s="531" t="str">
        <f t="shared" si="86"/>
        <v/>
      </c>
      <c r="DC767" s="531" t="str">
        <f t="shared" si="87"/>
        <v/>
      </c>
      <c r="DD767" s="531" t="str">
        <f t="shared" si="88"/>
        <v/>
      </c>
      <c r="DE767" s="531" t="str">
        <f t="shared" si="89"/>
        <v/>
      </c>
      <c r="DF767" s="531" t="str">
        <f t="shared" si="90"/>
        <v/>
      </c>
      <c r="DG767" s="531" t="str">
        <f t="shared" si="91"/>
        <v/>
      </c>
      <c r="DH767" s="531" t="str">
        <f t="shared" si="92"/>
        <v/>
      </c>
      <c r="DI767" s="531" t="str">
        <f t="shared" si="93"/>
        <v/>
      </c>
      <c r="DJ767" s="531" t="str">
        <f t="shared" si="94"/>
        <v/>
      </c>
      <c r="DK767" s="531" t="str">
        <f t="shared" si="95"/>
        <v/>
      </c>
      <c r="DL767" s="531" t="str">
        <f t="shared" si="96"/>
        <v/>
      </c>
      <c r="DM767" s="531" t="str">
        <f t="shared" si="97"/>
        <v/>
      </c>
      <c r="DN767" s="531" t="str">
        <f t="shared" si="98"/>
        <v/>
      </c>
      <c r="DO767" s="531" t="str">
        <f t="shared" si="99"/>
        <v/>
      </c>
      <c r="DP767" s="531" t="str">
        <f t="shared" si="100"/>
        <v/>
      </c>
      <c r="DQ767" s="531" t="str">
        <f t="shared" si="101"/>
        <v/>
      </c>
      <c r="DR767" s="531" t="str">
        <f t="shared" si="102"/>
        <v/>
      </c>
      <c r="DS767" s="531" t="str">
        <f t="shared" si="103"/>
        <v/>
      </c>
      <c r="DT767" s="531" t="str">
        <f t="shared" si="104"/>
        <v/>
      </c>
      <c r="DU767" s="531" t="str">
        <f t="shared" si="105"/>
        <v/>
      </c>
      <c r="DV767" s="531" t="str">
        <f t="shared" si="106"/>
        <v/>
      </c>
      <c r="DW767" s="531" t="str">
        <f t="shared" si="107"/>
        <v/>
      </c>
      <c r="DX767" s="531" t="str">
        <f t="shared" si="108"/>
        <v/>
      </c>
      <c r="DY767" s="531" t="str">
        <f t="shared" si="109"/>
        <v/>
      </c>
      <c r="DZ767" s="531" t="str">
        <f t="shared" si="110"/>
        <v/>
      </c>
      <c r="EA767" s="531" t="str">
        <f t="shared" si="111"/>
        <v/>
      </c>
      <c r="EB767" s="531" t="str">
        <f t="shared" si="112"/>
        <v/>
      </c>
      <c r="EC767" s="531" t="str">
        <f t="shared" si="113"/>
        <v/>
      </c>
      <c r="ED767" s="531" t="str">
        <f t="shared" si="114"/>
        <v/>
      </c>
      <c r="EE767" s="531" t="str">
        <f t="shared" si="115"/>
        <v/>
      </c>
      <c r="EF767" s="531" t="str">
        <f t="shared" si="116"/>
        <v/>
      </c>
      <c r="EG767" s="531" t="str">
        <f t="shared" si="117"/>
        <v/>
      </c>
      <c r="EH767" s="531" t="str">
        <f t="shared" si="118"/>
        <v/>
      </c>
      <c r="EI767" s="531" t="str">
        <f t="shared" si="119"/>
        <v/>
      </c>
      <c r="EJ767" s="531" t="str">
        <f t="shared" si="120"/>
        <v/>
      </c>
      <c r="EK767" s="531" t="str">
        <f t="shared" si="121"/>
        <v/>
      </c>
      <c r="EL767" s="531" t="str">
        <f t="shared" si="122"/>
        <v/>
      </c>
      <c r="EM767" s="531" t="str">
        <f t="shared" si="123"/>
        <v/>
      </c>
      <c r="EN767" s="531" t="str">
        <f t="shared" si="124"/>
        <v/>
      </c>
      <c r="EO767" s="531" t="str">
        <f t="shared" si="125"/>
        <v/>
      </c>
      <c r="EP767" s="531" t="str">
        <f t="shared" si="126"/>
        <v/>
      </c>
      <c r="EQ767" s="531" t="str">
        <f t="shared" si="127"/>
        <v/>
      </c>
      <c r="ER767" s="531" t="str">
        <f t="shared" si="128"/>
        <v/>
      </c>
      <c r="ES767" s="531" t="str">
        <f t="shared" si="129"/>
        <v/>
      </c>
      <c r="ET767" s="531" t="str">
        <f t="shared" si="130"/>
        <v/>
      </c>
      <c r="EU767" s="531" t="str">
        <f t="shared" si="131"/>
        <v/>
      </c>
      <c r="EV767" s="531" t="str">
        <f t="shared" si="132"/>
        <v/>
      </c>
      <c r="EW767" s="1554" t="str">
        <f t="shared" si="133"/>
        <v/>
      </c>
      <c r="EX767" s="1554" t="str">
        <f t="shared" si="134"/>
        <v/>
      </c>
      <c r="EY767" s="1554" t="str">
        <f t="shared" si="135"/>
        <v/>
      </c>
      <c r="EZ767" s="1554" t="str">
        <f t="shared" si="136"/>
        <v/>
      </c>
      <c r="FA767" s="1554" t="str">
        <f t="shared" si="137"/>
        <v/>
      </c>
      <c r="FB767" s="1554" t="str">
        <f t="shared" si="138"/>
        <v/>
      </c>
      <c r="FC767" s="1554" t="str">
        <f t="shared" si="139"/>
        <v/>
      </c>
      <c r="FD767" s="1554" t="str">
        <f t="shared" si="140"/>
        <v/>
      </c>
      <c r="FE767" s="1554" t="str">
        <f t="shared" si="141"/>
        <v/>
      </c>
      <c r="FF767" s="1554" t="str">
        <f t="shared" si="142"/>
        <v/>
      </c>
      <c r="FG767" s="1554" t="str">
        <f t="shared" si="143"/>
        <v/>
      </c>
      <c r="FH767" s="1554" t="str">
        <f t="shared" si="144"/>
        <v/>
      </c>
      <c r="FI767" s="1554" t="str">
        <f t="shared" si="145"/>
        <v/>
      </c>
      <c r="FJ767" s="1554" t="str">
        <f t="shared" si="146"/>
        <v/>
      </c>
      <c r="FK767" s="1554" t="str">
        <f t="shared" si="147"/>
        <v/>
      </c>
      <c r="FL767" s="1554" t="str">
        <f t="shared" si="148"/>
        <v/>
      </c>
      <c r="FM767" s="1554" t="str">
        <f t="shared" si="149"/>
        <v/>
      </c>
      <c r="FN767" s="1554" t="str">
        <f t="shared" si="150"/>
        <v/>
      </c>
      <c r="FO767" s="1554" t="str">
        <f t="shared" si="151"/>
        <v/>
      </c>
      <c r="FP767" s="1554" t="str">
        <f t="shared" si="152"/>
        <v/>
      </c>
      <c r="FQ767" s="1554" t="str">
        <f t="shared" si="153"/>
        <v/>
      </c>
      <c r="FR767" s="1554" t="str">
        <f t="shared" si="154"/>
        <v/>
      </c>
      <c r="FS767" s="1554" t="str">
        <f t="shared" si="155"/>
        <v/>
      </c>
      <c r="FT767" s="1554" t="str">
        <f t="shared" si="156"/>
        <v/>
      </c>
      <c r="FU767" s="1554" t="str">
        <f t="shared" si="157"/>
        <v/>
      </c>
      <c r="FV767" s="1554" t="str">
        <f t="shared" si="158"/>
        <v/>
      </c>
      <c r="FW767" s="1554" t="str">
        <f t="shared" si="159"/>
        <v/>
      </c>
      <c r="FX767" s="1554" t="str">
        <f t="shared" si="160"/>
        <v/>
      </c>
      <c r="FY767" s="1554" t="str">
        <f t="shared" si="161"/>
        <v/>
      </c>
      <c r="FZ767" s="1554" t="str">
        <f t="shared" si="162"/>
        <v/>
      </c>
      <c r="GA767" s="1554" t="str">
        <f t="shared" si="163"/>
        <v/>
      </c>
      <c r="GB767" s="1554" t="str">
        <f t="shared" si="164"/>
        <v/>
      </c>
      <c r="GC767" s="1554" t="str">
        <f t="shared" si="165"/>
        <v/>
      </c>
      <c r="GD767" s="1554" t="str">
        <f t="shared" si="166"/>
        <v/>
      </c>
      <c r="GE767" s="1554" t="str">
        <f t="shared" si="167"/>
        <v/>
      </c>
      <c r="GF767" s="1554" t="str">
        <f t="shared" si="168"/>
        <v/>
      </c>
      <c r="GG767" s="1554" t="str">
        <f t="shared" si="169"/>
        <v/>
      </c>
      <c r="GH767" s="1554" t="str">
        <f t="shared" si="170"/>
        <v/>
      </c>
      <c r="GI767" s="1554" t="str">
        <f t="shared" si="171"/>
        <v/>
      </c>
      <c r="GJ767" s="1554" t="str">
        <f t="shared" si="172"/>
        <v/>
      </c>
      <c r="GK767" s="1554" t="str">
        <f t="shared" si="173"/>
        <v/>
      </c>
      <c r="GL767" s="1554" t="str">
        <f t="shared" si="174"/>
        <v/>
      </c>
      <c r="GM767" s="1554" t="str">
        <f t="shared" si="175"/>
        <v/>
      </c>
      <c r="GN767" s="1554" t="str">
        <f t="shared" si="176"/>
        <v/>
      </c>
      <c r="GO767" s="1554" t="str">
        <f t="shared" si="177"/>
        <v/>
      </c>
      <c r="GP767" s="1554" t="str">
        <f t="shared" si="178"/>
        <v/>
      </c>
      <c r="GQ767" s="1554" t="str">
        <f t="shared" si="179"/>
        <v/>
      </c>
      <c r="GR767" s="1554" t="str">
        <f t="shared" si="180"/>
        <v/>
      </c>
      <c r="GS767" s="1554" t="str">
        <f t="shared" si="181"/>
        <v/>
      </c>
      <c r="GT767" s="1554" t="str">
        <f t="shared" si="182"/>
        <v/>
      </c>
      <c r="GU767" s="1554" t="str">
        <f t="shared" si="183"/>
        <v/>
      </c>
      <c r="GV767" s="1554" t="str">
        <f t="shared" si="184"/>
        <v/>
      </c>
      <c r="GW767" s="1554" t="str">
        <f t="shared" si="185"/>
        <v/>
      </c>
      <c r="GX767" s="1554" t="str">
        <f t="shared" si="186"/>
        <v/>
      </c>
      <c r="GY767" s="1554" t="str">
        <f t="shared" si="187"/>
        <v/>
      </c>
      <c r="GZ767" s="1554" t="str">
        <f t="shared" si="188"/>
        <v/>
      </c>
      <c r="HA767" s="1554" t="str">
        <f t="shared" si="189"/>
        <v/>
      </c>
      <c r="HB767" s="1554" t="str">
        <f t="shared" si="190"/>
        <v/>
      </c>
      <c r="HC767" s="1554" t="str">
        <f t="shared" si="191"/>
        <v/>
      </c>
      <c r="HD767" s="1554" t="str">
        <f t="shared" si="192"/>
        <v/>
      </c>
      <c r="HE767" s="1554" t="str">
        <f t="shared" si="193"/>
        <v/>
      </c>
      <c r="HF767" s="1554" t="str">
        <f t="shared" si="194"/>
        <v/>
      </c>
      <c r="HG767" s="1554" t="str">
        <f t="shared" si="195"/>
        <v/>
      </c>
      <c r="HH767" s="1554" t="str">
        <f t="shared" si="196"/>
        <v/>
      </c>
      <c r="HI767" s="1554" t="str">
        <f t="shared" si="197"/>
        <v/>
      </c>
      <c r="HJ767" s="1554" t="str">
        <f t="shared" si="198"/>
        <v/>
      </c>
      <c r="HK767" s="1554" t="str">
        <f t="shared" si="199"/>
        <v/>
      </c>
      <c r="HL767" s="1554" t="str">
        <f t="shared" si="200"/>
        <v/>
      </c>
      <c r="HM767" s="1554" t="str">
        <f t="shared" si="201"/>
        <v/>
      </c>
      <c r="HN767" s="1554" t="str">
        <f t="shared" si="202"/>
        <v/>
      </c>
      <c r="HO767" s="1554" t="str">
        <f t="shared" si="203"/>
        <v/>
      </c>
      <c r="HP767" s="1554" t="str">
        <f t="shared" si="204"/>
        <v/>
      </c>
      <c r="HQ767" s="1554" t="str">
        <f t="shared" si="205"/>
        <v/>
      </c>
      <c r="HR767" s="1554" t="str">
        <f t="shared" si="206"/>
        <v/>
      </c>
      <c r="HS767" s="1554" t="str">
        <f t="shared" si="207"/>
        <v/>
      </c>
      <c r="HT767" s="1554" t="str">
        <f t="shared" si="208"/>
        <v/>
      </c>
      <c r="HU767" s="1554" t="str">
        <f t="shared" si="209"/>
        <v/>
      </c>
      <c r="HV767" s="1554" t="str">
        <f t="shared" si="210"/>
        <v/>
      </c>
      <c r="HW767" s="1554" t="str">
        <f t="shared" si="211"/>
        <v/>
      </c>
      <c r="HX767" s="1554" t="str">
        <f t="shared" si="212"/>
        <v/>
      </c>
      <c r="HY767" s="1554" t="str">
        <f t="shared" si="213"/>
        <v/>
      </c>
      <c r="HZ767" s="1554" t="str">
        <f t="shared" si="214"/>
        <v/>
      </c>
      <c r="IA767" s="1554" t="str">
        <f t="shared" si="215"/>
        <v/>
      </c>
      <c r="IB767" s="1554" t="str">
        <f t="shared" si="216"/>
        <v/>
      </c>
      <c r="IC767" s="1554" t="str">
        <f t="shared" si="217"/>
        <v/>
      </c>
      <c r="ID767" s="31" t="str">
        <f t="shared" si="218"/>
        <v/>
      </c>
      <c r="IE767" s="31" t="str">
        <f t="shared" si="219"/>
        <v/>
      </c>
      <c r="IF767" s="31" t="str">
        <f t="shared" si="220"/>
        <v/>
      </c>
      <c r="IG767" s="31" t="str">
        <f t="shared" si="221"/>
        <v/>
      </c>
      <c r="IH767" s="31" t="str">
        <f t="shared" si="222"/>
        <v/>
      </c>
      <c r="II767" s="531" t="str">
        <f t="shared" si="223"/>
        <v/>
      </c>
      <c r="IJ767" s="531" t="str">
        <f t="shared" si="224"/>
        <v/>
      </c>
      <c r="IK767" s="531" t="str">
        <f t="shared" si="225"/>
        <v/>
      </c>
      <c r="IL767" s="531" t="str">
        <f t="shared" si="226"/>
        <v/>
      </c>
      <c r="IM767" s="531" t="str">
        <f t="shared" si="227"/>
        <v/>
      </c>
      <c r="IN767" s="531" t="str">
        <f t="shared" si="228"/>
        <v/>
      </c>
      <c r="IO767" s="531" t="str">
        <f t="shared" si="229"/>
        <v/>
      </c>
      <c r="IP767" s="531" t="str">
        <f t="shared" si="230"/>
        <v/>
      </c>
      <c r="IQ767" s="531" t="str">
        <f t="shared" si="231"/>
        <v/>
      </c>
      <c r="IR767" s="531" t="str">
        <f t="shared" si="232"/>
        <v/>
      </c>
      <c r="IS767" s="531" t="str">
        <f t="shared" si="233"/>
        <v/>
      </c>
      <c r="IT767" s="531" t="str">
        <f t="shared" si="234"/>
        <v/>
      </c>
      <c r="IU767" s="531" t="str">
        <f t="shared" si="235"/>
        <v/>
      </c>
      <c r="IV767" s="531" t="str">
        <f t="shared" si="236"/>
        <v/>
      </c>
      <c r="IW767" s="531" t="str">
        <f t="shared" si="237"/>
        <v/>
      </c>
      <c r="IX767" s="531" t="str">
        <f t="shared" si="238"/>
        <v/>
      </c>
      <c r="IY767" s="531" t="str">
        <f t="shared" si="239"/>
        <v/>
      </c>
      <c r="IZ767" s="531" t="str">
        <f t="shared" si="240"/>
        <v/>
      </c>
      <c r="JA767" s="531" t="str">
        <f t="shared" si="241"/>
        <v/>
      </c>
      <c r="JB767" s="531" t="str">
        <f t="shared" si="242"/>
        <v/>
      </c>
      <c r="JC767" s="615">
        <f t="shared" si="243"/>
        <v>0</v>
      </c>
      <c r="JD767" s="615">
        <f t="shared" si="244"/>
        <v>0</v>
      </c>
      <c r="JE767" s="615">
        <f t="shared" si="245"/>
        <v>0</v>
      </c>
      <c r="JF767" s="615">
        <f t="shared" si="246"/>
        <v>0</v>
      </c>
      <c r="JG767" s="615">
        <f t="shared" si="247"/>
        <v>0</v>
      </c>
      <c r="JH767" s="615">
        <f t="shared" si="248"/>
        <v>0</v>
      </c>
      <c r="JI767" s="615">
        <f t="shared" si="249"/>
        <v>0</v>
      </c>
      <c r="JJ767" s="615">
        <f t="shared" si="250"/>
        <v>0</v>
      </c>
      <c r="JK767" s="615">
        <f t="shared" si="251"/>
        <v>0</v>
      </c>
      <c r="JL767" s="615">
        <f t="shared" si="252"/>
        <v>0</v>
      </c>
      <c r="JM767" s="615">
        <f t="shared" si="253"/>
        <v>0</v>
      </c>
      <c r="JN767" s="615">
        <f t="shared" si="254"/>
        <v>0</v>
      </c>
      <c r="JO767" s="615">
        <f t="shared" si="255"/>
        <v>0</v>
      </c>
      <c r="JP767" s="615">
        <f t="shared" si="256"/>
        <v>0</v>
      </c>
      <c r="JQ767" s="615">
        <f t="shared" si="257"/>
        <v>0</v>
      </c>
    </row>
    <row r="768" spans="1:277" ht="12" customHeight="1">
      <c r="A768" s="1190" t="str">
        <f t="shared" si="0"/>
        <v/>
      </c>
      <c r="B768" s="1545" t="str">
        <f>'Part VI-Revenues &amp; Expenses'!B25</f>
        <v>&lt;&lt;Select&gt;&gt;</v>
      </c>
      <c r="C768" s="1546">
        <f>'Part VI-Revenues &amp; Expenses'!C25</f>
        <v>0</v>
      </c>
      <c r="D768" s="1547">
        <f>'Part VI-Revenues &amp; Expenses'!D25</f>
        <v>0</v>
      </c>
      <c r="E768" s="1548">
        <f>'Part VI-Revenues &amp; Expenses'!E25</f>
        <v>0</v>
      </c>
      <c r="F768" s="1548">
        <f>'Part VI-Revenues &amp; Expenses'!F25</f>
        <v>0</v>
      </c>
      <c r="G768" s="1548">
        <f>'Part VI-Revenues &amp; Expenses'!G25</f>
        <v>0</v>
      </c>
      <c r="H768" s="1548">
        <f>'Part VI-Revenues &amp; Expenses'!H25</f>
        <v>0</v>
      </c>
      <c r="I768" s="1548">
        <f>'Part VI-Revenues &amp; Expenses'!I25</f>
        <v>0</v>
      </c>
      <c r="J768" s="1549">
        <f>'Part VI-Revenues &amp; Expenses'!J25</f>
        <v>0</v>
      </c>
      <c r="K768" s="1550">
        <f t="shared" si="1"/>
        <v>0</v>
      </c>
      <c r="L768" s="1550">
        <f t="shared" si="2"/>
        <v>0</v>
      </c>
      <c r="M768" s="1551">
        <f>'Part VI-Revenues &amp; Expenses'!M25</f>
        <v>0</v>
      </c>
      <c r="N768" s="1551">
        <f>'Part VI-Revenues &amp; Expenses'!N25</f>
        <v>0</v>
      </c>
      <c r="O768" s="1551">
        <f>'Part VI-Revenues &amp; Expenses'!O25</f>
        <v>0</v>
      </c>
      <c r="P768" s="1406">
        <f>'Part VI-Revenues &amp; Expenses'!P25</f>
        <v>0</v>
      </c>
      <c r="Q768" s="1552" t="str">
        <f>'Part VI-Revenues &amp; Expenses'!Q25</f>
        <v/>
      </c>
      <c r="R768" s="1553" t="str">
        <f>'Part VI-Revenues &amp; Expenses'!R25</f>
        <v/>
      </c>
      <c r="S768" s="1552">
        <f>'Part VI-Revenues &amp; Expenses'!S25</f>
        <v>0</v>
      </c>
      <c r="T768" s="1553">
        <f>'Part VI-Revenues &amp; Expenses'!T25</f>
        <v>0</v>
      </c>
      <c r="U768" s="1477"/>
      <c r="V768" s="1477"/>
      <c r="W768" s="531" t="str">
        <f t="shared" si="3"/>
        <v/>
      </c>
      <c r="X768" s="531" t="str">
        <f t="shared" si="4"/>
        <v/>
      </c>
      <c r="Y768" s="531" t="str">
        <f t="shared" si="5"/>
        <v/>
      </c>
      <c r="Z768" s="531" t="str">
        <f t="shared" si="6"/>
        <v/>
      </c>
      <c r="AA768" s="531" t="str">
        <f t="shared" si="7"/>
        <v/>
      </c>
      <c r="AB768" s="531" t="str">
        <f t="shared" si="8"/>
        <v/>
      </c>
      <c r="AC768" s="531" t="str">
        <f t="shared" si="9"/>
        <v/>
      </c>
      <c r="AD768" s="531" t="str">
        <f t="shared" si="10"/>
        <v/>
      </c>
      <c r="AE768" s="531" t="str">
        <f t="shared" si="11"/>
        <v/>
      </c>
      <c r="AF768" s="531" t="str">
        <f t="shared" si="12"/>
        <v/>
      </c>
      <c r="AG768" s="531" t="str">
        <f t="shared" si="13"/>
        <v/>
      </c>
      <c r="AH768" s="531" t="str">
        <f t="shared" si="14"/>
        <v/>
      </c>
      <c r="AI768" s="531" t="str">
        <f t="shared" si="15"/>
        <v/>
      </c>
      <c r="AJ768" s="531" t="str">
        <f t="shared" si="16"/>
        <v/>
      </c>
      <c r="AK768" s="531" t="str">
        <f t="shared" si="17"/>
        <v/>
      </c>
      <c r="AL768" s="531" t="str">
        <f t="shared" si="18"/>
        <v/>
      </c>
      <c r="AM768" s="531" t="str">
        <f t="shared" si="19"/>
        <v/>
      </c>
      <c r="AN768" s="531" t="str">
        <f t="shared" si="20"/>
        <v/>
      </c>
      <c r="AO768" s="531" t="str">
        <f t="shared" si="21"/>
        <v/>
      </c>
      <c r="AP768" s="531" t="str">
        <f t="shared" si="22"/>
        <v/>
      </c>
      <c r="AQ768" s="531" t="str">
        <f t="shared" si="23"/>
        <v/>
      </c>
      <c r="AR768" s="531" t="str">
        <f t="shared" si="24"/>
        <v/>
      </c>
      <c r="AS768" s="531" t="str">
        <f t="shared" si="25"/>
        <v/>
      </c>
      <c r="AT768" s="531" t="str">
        <f t="shared" si="26"/>
        <v/>
      </c>
      <c r="AU768" s="531" t="str">
        <f t="shared" si="27"/>
        <v/>
      </c>
      <c r="AV768" s="531" t="str">
        <f t="shared" si="28"/>
        <v/>
      </c>
      <c r="AW768" s="531" t="str">
        <f t="shared" si="29"/>
        <v/>
      </c>
      <c r="AX768" s="531" t="str">
        <f t="shared" si="30"/>
        <v/>
      </c>
      <c r="AY768" s="531" t="str">
        <f t="shared" si="31"/>
        <v/>
      </c>
      <c r="AZ768" s="531" t="str">
        <f t="shared" si="32"/>
        <v/>
      </c>
      <c r="BA768" s="531" t="str">
        <f t="shared" si="33"/>
        <v/>
      </c>
      <c r="BB768" s="531" t="str">
        <f t="shared" si="34"/>
        <v/>
      </c>
      <c r="BC768" s="531" t="str">
        <f t="shared" si="35"/>
        <v/>
      </c>
      <c r="BD768" s="531" t="str">
        <f t="shared" si="36"/>
        <v/>
      </c>
      <c r="BE768" s="531" t="str">
        <f t="shared" si="37"/>
        <v/>
      </c>
      <c r="BF768" s="531" t="str">
        <f t="shared" si="38"/>
        <v/>
      </c>
      <c r="BG768" s="531" t="str">
        <f t="shared" si="39"/>
        <v/>
      </c>
      <c r="BH768" s="531" t="str">
        <f t="shared" si="40"/>
        <v/>
      </c>
      <c r="BI768" s="531" t="str">
        <f t="shared" si="41"/>
        <v/>
      </c>
      <c r="BJ768" s="531" t="str">
        <f t="shared" si="42"/>
        <v/>
      </c>
      <c r="BK768" s="531" t="str">
        <f t="shared" si="43"/>
        <v/>
      </c>
      <c r="BL768" s="531" t="str">
        <f t="shared" si="44"/>
        <v/>
      </c>
      <c r="BM768" s="531" t="str">
        <f t="shared" si="45"/>
        <v/>
      </c>
      <c r="BN768" s="531" t="str">
        <f t="shared" si="46"/>
        <v/>
      </c>
      <c r="BO768" s="531" t="str">
        <f t="shared" si="47"/>
        <v/>
      </c>
      <c r="BP768" s="531" t="str">
        <f t="shared" si="48"/>
        <v/>
      </c>
      <c r="BQ768" s="531" t="str">
        <f t="shared" si="49"/>
        <v/>
      </c>
      <c r="BR768" s="531" t="str">
        <f t="shared" si="50"/>
        <v/>
      </c>
      <c r="BS768" s="531" t="str">
        <f t="shared" si="51"/>
        <v/>
      </c>
      <c r="BT768" s="531" t="str">
        <f t="shared" si="52"/>
        <v/>
      </c>
      <c r="BU768" s="531" t="str">
        <f t="shared" si="53"/>
        <v/>
      </c>
      <c r="BV768" s="531" t="str">
        <f t="shared" si="54"/>
        <v/>
      </c>
      <c r="BW768" s="531" t="str">
        <f t="shared" si="55"/>
        <v/>
      </c>
      <c r="BX768" s="531" t="str">
        <f t="shared" si="56"/>
        <v/>
      </c>
      <c r="BY768" s="531" t="str">
        <f t="shared" si="57"/>
        <v/>
      </c>
      <c r="BZ768" s="531" t="str">
        <f t="shared" si="58"/>
        <v/>
      </c>
      <c r="CA768" s="531" t="str">
        <f t="shared" si="59"/>
        <v/>
      </c>
      <c r="CB768" s="531" t="str">
        <f t="shared" si="60"/>
        <v/>
      </c>
      <c r="CC768" s="531" t="str">
        <f t="shared" si="61"/>
        <v/>
      </c>
      <c r="CD768" s="531" t="str">
        <f t="shared" si="62"/>
        <v/>
      </c>
      <c r="CE768" s="531" t="str">
        <f t="shared" si="63"/>
        <v/>
      </c>
      <c r="CF768" s="531" t="str">
        <f t="shared" si="64"/>
        <v/>
      </c>
      <c r="CG768" s="531" t="str">
        <f t="shared" si="65"/>
        <v/>
      </c>
      <c r="CH768" s="531" t="str">
        <f t="shared" si="66"/>
        <v/>
      </c>
      <c r="CI768" s="531" t="str">
        <f t="shared" si="67"/>
        <v/>
      </c>
      <c r="CJ768" s="531" t="str">
        <f t="shared" si="68"/>
        <v/>
      </c>
      <c r="CK768" s="531" t="str">
        <f t="shared" si="69"/>
        <v/>
      </c>
      <c r="CL768" s="531" t="str">
        <f t="shared" si="70"/>
        <v/>
      </c>
      <c r="CM768" s="531" t="str">
        <f t="shared" si="71"/>
        <v/>
      </c>
      <c r="CN768" s="531" t="str">
        <f t="shared" si="72"/>
        <v/>
      </c>
      <c r="CO768" s="531" t="str">
        <f t="shared" si="73"/>
        <v/>
      </c>
      <c r="CP768" s="531" t="str">
        <f t="shared" si="74"/>
        <v/>
      </c>
      <c r="CQ768" s="531" t="str">
        <f t="shared" si="75"/>
        <v/>
      </c>
      <c r="CR768" s="531" t="str">
        <f t="shared" si="76"/>
        <v/>
      </c>
      <c r="CS768" s="531" t="str">
        <f t="shared" si="77"/>
        <v/>
      </c>
      <c r="CT768" s="531" t="str">
        <f t="shared" si="78"/>
        <v/>
      </c>
      <c r="CU768" s="531" t="str">
        <f t="shared" si="79"/>
        <v/>
      </c>
      <c r="CV768" s="531" t="str">
        <f t="shared" si="80"/>
        <v/>
      </c>
      <c r="CW768" s="531" t="str">
        <f t="shared" si="81"/>
        <v/>
      </c>
      <c r="CX768" s="531" t="str">
        <f t="shared" si="82"/>
        <v/>
      </c>
      <c r="CY768" s="531" t="str">
        <f t="shared" si="83"/>
        <v/>
      </c>
      <c r="CZ768" s="531" t="str">
        <f t="shared" si="84"/>
        <v/>
      </c>
      <c r="DA768" s="531" t="str">
        <f t="shared" si="85"/>
        <v/>
      </c>
      <c r="DB768" s="531" t="str">
        <f t="shared" si="86"/>
        <v/>
      </c>
      <c r="DC768" s="531" t="str">
        <f t="shared" si="87"/>
        <v/>
      </c>
      <c r="DD768" s="531" t="str">
        <f t="shared" si="88"/>
        <v/>
      </c>
      <c r="DE768" s="531" t="str">
        <f t="shared" si="89"/>
        <v/>
      </c>
      <c r="DF768" s="531" t="str">
        <f t="shared" si="90"/>
        <v/>
      </c>
      <c r="DG768" s="531" t="str">
        <f t="shared" si="91"/>
        <v/>
      </c>
      <c r="DH768" s="531" t="str">
        <f t="shared" si="92"/>
        <v/>
      </c>
      <c r="DI768" s="531" t="str">
        <f t="shared" si="93"/>
        <v/>
      </c>
      <c r="DJ768" s="531" t="str">
        <f t="shared" si="94"/>
        <v/>
      </c>
      <c r="DK768" s="531" t="str">
        <f t="shared" si="95"/>
        <v/>
      </c>
      <c r="DL768" s="531" t="str">
        <f t="shared" si="96"/>
        <v/>
      </c>
      <c r="DM768" s="531" t="str">
        <f t="shared" si="97"/>
        <v/>
      </c>
      <c r="DN768" s="531" t="str">
        <f t="shared" si="98"/>
        <v/>
      </c>
      <c r="DO768" s="531" t="str">
        <f t="shared" si="99"/>
        <v/>
      </c>
      <c r="DP768" s="531" t="str">
        <f t="shared" si="100"/>
        <v/>
      </c>
      <c r="DQ768" s="531" t="str">
        <f t="shared" si="101"/>
        <v/>
      </c>
      <c r="DR768" s="531" t="str">
        <f t="shared" si="102"/>
        <v/>
      </c>
      <c r="DS768" s="531" t="str">
        <f t="shared" si="103"/>
        <v/>
      </c>
      <c r="DT768" s="531" t="str">
        <f t="shared" si="104"/>
        <v/>
      </c>
      <c r="DU768" s="531" t="str">
        <f t="shared" si="105"/>
        <v/>
      </c>
      <c r="DV768" s="531" t="str">
        <f t="shared" si="106"/>
        <v/>
      </c>
      <c r="DW768" s="531" t="str">
        <f t="shared" si="107"/>
        <v/>
      </c>
      <c r="DX768" s="531" t="str">
        <f t="shared" si="108"/>
        <v/>
      </c>
      <c r="DY768" s="531" t="str">
        <f t="shared" si="109"/>
        <v/>
      </c>
      <c r="DZ768" s="531" t="str">
        <f t="shared" si="110"/>
        <v/>
      </c>
      <c r="EA768" s="531" t="str">
        <f t="shared" si="111"/>
        <v/>
      </c>
      <c r="EB768" s="531" t="str">
        <f t="shared" si="112"/>
        <v/>
      </c>
      <c r="EC768" s="531" t="str">
        <f t="shared" si="113"/>
        <v/>
      </c>
      <c r="ED768" s="531" t="str">
        <f t="shared" si="114"/>
        <v/>
      </c>
      <c r="EE768" s="531" t="str">
        <f t="shared" si="115"/>
        <v/>
      </c>
      <c r="EF768" s="531" t="str">
        <f t="shared" si="116"/>
        <v/>
      </c>
      <c r="EG768" s="531" t="str">
        <f t="shared" si="117"/>
        <v/>
      </c>
      <c r="EH768" s="531" t="str">
        <f t="shared" si="118"/>
        <v/>
      </c>
      <c r="EI768" s="531" t="str">
        <f t="shared" si="119"/>
        <v/>
      </c>
      <c r="EJ768" s="531" t="str">
        <f t="shared" si="120"/>
        <v/>
      </c>
      <c r="EK768" s="531" t="str">
        <f t="shared" si="121"/>
        <v/>
      </c>
      <c r="EL768" s="531" t="str">
        <f t="shared" si="122"/>
        <v/>
      </c>
      <c r="EM768" s="531" t="str">
        <f t="shared" si="123"/>
        <v/>
      </c>
      <c r="EN768" s="531" t="str">
        <f t="shared" si="124"/>
        <v/>
      </c>
      <c r="EO768" s="531" t="str">
        <f t="shared" si="125"/>
        <v/>
      </c>
      <c r="EP768" s="531" t="str">
        <f t="shared" si="126"/>
        <v/>
      </c>
      <c r="EQ768" s="531" t="str">
        <f t="shared" si="127"/>
        <v/>
      </c>
      <c r="ER768" s="531" t="str">
        <f t="shared" si="128"/>
        <v/>
      </c>
      <c r="ES768" s="531" t="str">
        <f t="shared" si="129"/>
        <v/>
      </c>
      <c r="ET768" s="531" t="str">
        <f t="shared" si="130"/>
        <v/>
      </c>
      <c r="EU768" s="531" t="str">
        <f t="shared" si="131"/>
        <v/>
      </c>
      <c r="EV768" s="531" t="str">
        <f t="shared" si="132"/>
        <v/>
      </c>
      <c r="EW768" s="1554" t="str">
        <f t="shared" si="133"/>
        <v/>
      </c>
      <c r="EX768" s="1554" t="str">
        <f t="shared" si="134"/>
        <v/>
      </c>
      <c r="EY768" s="1554" t="str">
        <f t="shared" si="135"/>
        <v/>
      </c>
      <c r="EZ768" s="1554" t="str">
        <f t="shared" si="136"/>
        <v/>
      </c>
      <c r="FA768" s="1554" t="str">
        <f t="shared" si="137"/>
        <v/>
      </c>
      <c r="FB768" s="1554" t="str">
        <f t="shared" si="138"/>
        <v/>
      </c>
      <c r="FC768" s="1554" t="str">
        <f t="shared" si="139"/>
        <v/>
      </c>
      <c r="FD768" s="1554" t="str">
        <f t="shared" si="140"/>
        <v/>
      </c>
      <c r="FE768" s="1554" t="str">
        <f t="shared" si="141"/>
        <v/>
      </c>
      <c r="FF768" s="1554" t="str">
        <f t="shared" si="142"/>
        <v/>
      </c>
      <c r="FG768" s="1554" t="str">
        <f t="shared" si="143"/>
        <v/>
      </c>
      <c r="FH768" s="1554" t="str">
        <f t="shared" si="144"/>
        <v/>
      </c>
      <c r="FI768" s="1554" t="str">
        <f t="shared" si="145"/>
        <v/>
      </c>
      <c r="FJ768" s="1554" t="str">
        <f t="shared" si="146"/>
        <v/>
      </c>
      <c r="FK768" s="1554" t="str">
        <f t="shared" si="147"/>
        <v/>
      </c>
      <c r="FL768" s="1554" t="str">
        <f t="shared" si="148"/>
        <v/>
      </c>
      <c r="FM768" s="1554" t="str">
        <f t="shared" si="149"/>
        <v/>
      </c>
      <c r="FN768" s="1554" t="str">
        <f t="shared" si="150"/>
        <v/>
      </c>
      <c r="FO768" s="1554" t="str">
        <f t="shared" si="151"/>
        <v/>
      </c>
      <c r="FP768" s="1554" t="str">
        <f t="shared" si="152"/>
        <v/>
      </c>
      <c r="FQ768" s="1554" t="str">
        <f t="shared" si="153"/>
        <v/>
      </c>
      <c r="FR768" s="1554" t="str">
        <f t="shared" si="154"/>
        <v/>
      </c>
      <c r="FS768" s="1554" t="str">
        <f t="shared" si="155"/>
        <v/>
      </c>
      <c r="FT768" s="1554" t="str">
        <f t="shared" si="156"/>
        <v/>
      </c>
      <c r="FU768" s="1554" t="str">
        <f t="shared" si="157"/>
        <v/>
      </c>
      <c r="FV768" s="1554" t="str">
        <f t="shared" si="158"/>
        <v/>
      </c>
      <c r="FW768" s="1554" t="str">
        <f t="shared" si="159"/>
        <v/>
      </c>
      <c r="FX768" s="1554" t="str">
        <f t="shared" si="160"/>
        <v/>
      </c>
      <c r="FY768" s="1554" t="str">
        <f t="shared" si="161"/>
        <v/>
      </c>
      <c r="FZ768" s="1554" t="str">
        <f t="shared" si="162"/>
        <v/>
      </c>
      <c r="GA768" s="1554" t="str">
        <f t="shared" si="163"/>
        <v/>
      </c>
      <c r="GB768" s="1554" t="str">
        <f t="shared" si="164"/>
        <v/>
      </c>
      <c r="GC768" s="1554" t="str">
        <f t="shared" si="165"/>
        <v/>
      </c>
      <c r="GD768" s="1554" t="str">
        <f t="shared" si="166"/>
        <v/>
      </c>
      <c r="GE768" s="1554" t="str">
        <f t="shared" si="167"/>
        <v/>
      </c>
      <c r="GF768" s="1554" t="str">
        <f t="shared" si="168"/>
        <v/>
      </c>
      <c r="GG768" s="1554" t="str">
        <f t="shared" si="169"/>
        <v/>
      </c>
      <c r="GH768" s="1554" t="str">
        <f t="shared" si="170"/>
        <v/>
      </c>
      <c r="GI768" s="1554" t="str">
        <f t="shared" si="171"/>
        <v/>
      </c>
      <c r="GJ768" s="1554" t="str">
        <f t="shared" si="172"/>
        <v/>
      </c>
      <c r="GK768" s="1554" t="str">
        <f t="shared" si="173"/>
        <v/>
      </c>
      <c r="GL768" s="1554" t="str">
        <f t="shared" si="174"/>
        <v/>
      </c>
      <c r="GM768" s="1554" t="str">
        <f t="shared" si="175"/>
        <v/>
      </c>
      <c r="GN768" s="1554" t="str">
        <f t="shared" si="176"/>
        <v/>
      </c>
      <c r="GO768" s="1554" t="str">
        <f t="shared" si="177"/>
        <v/>
      </c>
      <c r="GP768" s="1554" t="str">
        <f t="shared" si="178"/>
        <v/>
      </c>
      <c r="GQ768" s="1554" t="str">
        <f t="shared" si="179"/>
        <v/>
      </c>
      <c r="GR768" s="1554" t="str">
        <f t="shared" si="180"/>
        <v/>
      </c>
      <c r="GS768" s="1554" t="str">
        <f t="shared" si="181"/>
        <v/>
      </c>
      <c r="GT768" s="1554" t="str">
        <f t="shared" si="182"/>
        <v/>
      </c>
      <c r="GU768" s="1554" t="str">
        <f t="shared" si="183"/>
        <v/>
      </c>
      <c r="GV768" s="1554" t="str">
        <f t="shared" si="184"/>
        <v/>
      </c>
      <c r="GW768" s="1554" t="str">
        <f t="shared" si="185"/>
        <v/>
      </c>
      <c r="GX768" s="1554" t="str">
        <f t="shared" si="186"/>
        <v/>
      </c>
      <c r="GY768" s="1554" t="str">
        <f t="shared" si="187"/>
        <v/>
      </c>
      <c r="GZ768" s="1554" t="str">
        <f t="shared" si="188"/>
        <v/>
      </c>
      <c r="HA768" s="1554" t="str">
        <f t="shared" si="189"/>
        <v/>
      </c>
      <c r="HB768" s="1554" t="str">
        <f t="shared" si="190"/>
        <v/>
      </c>
      <c r="HC768" s="1554" t="str">
        <f t="shared" si="191"/>
        <v/>
      </c>
      <c r="HD768" s="1554" t="str">
        <f t="shared" si="192"/>
        <v/>
      </c>
      <c r="HE768" s="1554" t="str">
        <f t="shared" si="193"/>
        <v/>
      </c>
      <c r="HF768" s="1554" t="str">
        <f t="shared" si="194"/>
        <v/>
      </c>
      <c r="HG768" s="1554" t="str">
        <f t="shared" si="195"/>
        <v/>
      </c>
      <c r="HH768" s="1554" t="str">
        <f t="shared" si="196"/>
        <v/>
      </c>
      <c r="HI768" s="1554" t="str">
        <f t="shared" si="197"/>
        <v/>
      </c>
      <c r="HJ768" s="1554" t="str">
        <f t="shared" si="198"/>
        <v/>
      </c>
      <c r="HK768" s="1554" t="str">
        <f t="shared" si="199"/>
        <v/>
      </c>
      <c r="HL768" s="1554" t="str">
        <f t="shared" si="200"/>
        <v/>
      </c>
      <c r="HM768" s="1554" t="str">
        <f t="shared" si="201"/>
        <v/>
      </c>
      <c r="HN768" s="1554" t="str">
        <f t="shared" si="202"/>
        <v/>
      </c>
      <c r="HO768" s="1554" t="str">
        <f t="shared" si="203"/>
        <v/>
      </c>
      <c r="HP768" s="1554" t="str">
        <f t="shared" si="204"/>
        <v/>
      </c>
      <c r="HQ768" s="1554" t="str">
        <f t="shared" si="205"/>
        <v/>
      </c>
      <c r="HR768" s="1554" t="str">
        <f t="shared" si="206"/>
        <v/>
      </c>
      <c r="HS768" s="1554" t="str">
        <f t="shared" si="207"/>
        <v/>
      </c>
      <c r="HT768" s="1554" t="str">
        <f t="shared" si="208"/>
        <v/>
      </c>
      <c r="HU768" s="1554" t="str">
        <f t="shared" si="209"/>
        <v/>
      </c>
      <c r="HV768" s="1554" t="str">
        <f t="shared" si="210"/>
        <v/>
      </c>
      <c r="HW768" s="1554" t="str">
        <f t="shared" si="211"/>
        <v/>
      </c>
      <c r="HX768" s="1554" t="str">
        <f t="shared" si="212"/>
        <v/>
      </c>
      <c r="HY768" s="1554" t="str">
        <f t="shared" si="213"/>
        <v/>
      </c>
      <c r="HZ768" s="1554" t="str">
        <f t="shared" si="214"/>
        <v/>
      </c>
      <c r="IA768" s="1554" t="str">
        <f t="shared" si="215"/>
        <v/>
      </c>
      <c r="IB768" s="1554" t="str">
        <f t="shared" si="216"/>
        <v/>
      </c>
      <c r="IC768" s="1554" t="str">
        <f t="shared" si="217"/>
        <v/>
      </c>
      <c r="ID768" s="31" t="str">
        <f t="shared" si="218"/>
        <v/>
      </c>
      <c r="IE768" s="31" t="str">
        <f t="shared" si="219"/>
        <v/>
      </c>
      <c r="IF768" s="31" t="str">
        <f t="shared" si="220"/>
        <v/>
      </c>
      <c r="IG768" s="31" t="str">
        <f t="shared" si="221"/>
        <v/>
      </c>
      <c r="IH768" s="31" t="str">
        <f t="shared" si="222"/>
        <v/>
      </c>
      <c r="II768" s="531" t="str">
        <f t="shared" si="223"/>
        <v/>
      </c>
      <c r="IJ768" s="531" t="str">
        <f t="shared" si="224"/>
        <v/>
      </c>
      <c r="IK768" s="531" t="str">
        <f t="shared" si="225"/>
        <v/>
      </c>
      <c r="IL768" s="531" t="str">
        <f t="shared" si="226"/>
        <v/>
      </c>
      <c r="IM768" s="531" t="str">
        <f t="shared" si="227"/>
        <v/>
      </c>
      <c r="IN768" s="531" t="str">
        <f t="shared" si="228"/>
        <v/>
      </c>
      <c r="IO768" s="531" t="str">
        <f t="shared" si="229"/>
        <v/>
      </c>
      <c r="IP768" s="531" t="str">
        <f t="shared" si="230"/>
        <v/>
      </c>
      <c r="IQ768" s="531" t="str">
        <f t="shared" si="231"/>
        <v/>
      </c>
      <c r="IR768" s="531" t="str">
        <f t="shared" si="232"/>
        <v/>
      </c>
      <c r="IS768" s="531" t="str">
        <f t="shared" si="233"/>
        <v/>
      </c>
      <c r="IT768" s="531" t="str">
        <f t="shared" si="234"/>
        <v/>
      </c>
      <c r="IU768" s="531" t="str">
        <f t="shared" si="235"/>
        <v/>
      </c>
      <c r="IV768" s="531" t="str">
        <f t="shared" si="236"/>
        <v/>
      </c>
      <c r="IW768" s="531" t="str">
        <f t="shared" si="237"/>
        <v/>
      </c>
      <c r="IX768" s="531" t="str">
        <f t="shared" si="238"/>
        <v/>
      </c>
      <c r="IY768" s="531" t="str">
        <f t="shared" si="239"/>
        <v/>
      </c>
      <c r="IZ768" s="531" t="str">
        <f t="shared" si="240"/>
        <v/>
      </c>
      <c r="JA768" s="531" t="str">
        <f t="shared" si="241"/>
        <v/>
      </c>
      <c r="JB768" s="531" t="str">
        <f t="shared" si="242"/>
        <v/>
      </c>
      <c r="JC768" s="615">
        <f t="shared" si="243"/>
        <v>0</v>
      </c>
      <c r="JD768" s="615">
        <f t="shared" si="244"/>
        <v>0</v>
      </c>
      <c r="JE768" s="615">
        <f t="shared" si="245"/>
        <v>0</v>
      </c>
      <c r="JF768" s="615">
        <f t="shared" si="246"/>
        <v>0</v>
      </c>
      <c r="JG768" s="615">
        <f t="shared" si="247"/>
        <v>0</v>
      </c>
      <c r="JH768" s="615">
        <f t="shared" si="248"/>
        <v>0</v>
      </c>
      <c r="JI768" s="615">
        <f t="shared" si="249"/>
        <v>0</v>
      </c>
      <c r="JJ768" s="615">
        <f t="shared" si="250"/>
        <v>0</v>
      </c>
      <c r="JK768" s="615">
        <f t="shared" si="251"/>
        <v>0</v>
      </c>
      <c r="JL768" s="615">
        <f t="shared" si="252"/>
        <v>0</v>
      </c>
      <c r="JM768" s="615">
        <f t="shared" si="253"/>
        <v>0</v>
      </c>
      <c r="JN768" s="615">
        <f t="shared" si="254"/>
        <v>0</v>
      </c>
      <c r="JO768" s="615">
        <f t="shared" si="255"/>
        <v>0</v>
      </c>
      <c r="JP768" s="615">
        <f t="shared" si="256"/>
        <v>0</v>
      </c>
      <c r="JQ768" s="615">
        <f t="shared" si="257"/>
        <v>0</v>
      </c>
    </row>
    <row r="769" spans="1:277" ht="12" customHeight="1">
      <c r="A769" s="1190" t="str">
        <f t="shared" si="0"/>
        <v/>
      </c>
      <c r="B769" s="1545" t="str">
        <f>'Part VI-Revenues &amp; Expenses'!B26</f>
        <v>&lt;&lt;Select&gt;&gt;</v>
      </c>
      <c r="C769" s="1546">
        <f>'Part VI-Revenues &amp; Expenses'!C26</f>
        <v>0</v>
      </c>
      <c r="D769" s="1547">
        <f>'Part VI-Revenues &amp; Expenses'!D26</f>
        <v>0</v>
      </c>
      <c r="E769" s="1548">
        <f>'Part VI-Revenues &amp; Expenses'!E26</f>
        <v>0</v>
      </c>
      <c r="F769" s="1548">
        <f>'Part VI-Revenues &amp; Expenses'!F26</f>
        <v>0</v>
      </c>
      <c r="G769" s="1548">
        <f>'Part VI-Revenues &amp; Expenses'!G26</f>
        <v>0</v>
      </c>
      <c r="H769" s="1548">
        <f>'Part VI-Revenues &amp; Expenses'!H26</f>
        <v>0</v>
      </c>
      <c r="I769" s="1548">
        <f>'Part VI-Revenues &amp; Expenses'!I26</f>
        <v>0</v>
      </c>
      <c r="J769" s="1549">
        <f>'Part VI-Revenues &amp; Expenses'!J26</f>
        <v>0</v>
      </c>
      <c r="K769" s="1550">
        <f t="shared" si="1"/>
        <v>0</v>
      </c>
      <c r="L769" s="1550">
        <f t="shared" si="2"/>
        <v>0</v>
      </c>
      <c r="M769" s="1551">
        <f>'Part VI-Revenues &amp; Expenses'!M26</f>
        <v>0</v>
      </c>
      <c r="N769" s="1551">
        <f>'Part VI-Revenues &amp; Expenses'!N26</f>
        <v>0</v>
      </c>
      <c r="O769" s="1551">
        <f>'Part VI-Revenues &amp; Expenses'!O26</f>
        <v>0</v>
      </c>
      <c r="P769" s="1406">
        <f>'Part VI-Revenues &amp; Expenses'!P26</f>
        <v>0</v>
      </c>
      <c r="Q769" s="1552" t="str">
        <f>'Part VI-Revenues &amp; Expenses'!Q26</f>
        <v/>
      </c>
      <c r="R769" s="1553" t="str">
        <f>'Part VI-Revenues &amp; Expenses'!R26</f>
        <v/>
      </c>
      <c r="S769" s="1552">
        <f>'Part VI-Revenues &amp; Expenses'!S26</f>
        <v>0</v>
      </c>
      <c r="T769" s="1553">
        <f>'Part VI-Revenues &amp; Expenses'!T26</f>
        <v>0</v>
      </c>
      <c r="U769" s="1477"/>
      <c r="V769" s="1477"/>
      <c r="W769" s="531" t="str">
        <f t="shared" si="3"/>
        <v/>
      </c>
      <c r="X769" s="531" t="str">
        <f t="shared" si="4"/>
        <v/>
      </c>
      <c r="Y769" s="531" t="str">
        <f t="shared" si="5"/>
        <v/>
      </c>
      <c r="Z769" s="531" t="str">
        <f t="shared" si="6"/>
        <v/>
      </c>
      <c r="AA769" s="531" t="str">
        <f t="shared" si="7"/>
        <v/>
      </c>
      <c r="AB769" s="531" t="str">
        <f t="shared" si="8"/>
        <v/>
      </c>
      <c r="AC769" s="531" t="str">
        <f t="shared" si="9"/>
        <v/>
      </c>
      <c r="AD769" s="531" t="str">
        <f t="shared" si="10"/>
        <v/>
      </c>
      <c r="AE769" s="531" t="str">
        <f t="shared" si="11"/>
        <v/>
      </c>
      <c r="AF769" s="531" t="str">
        <f t="shared" si="12"/>
        <v/>
      </c>
      <c r="AG769" s="531" t="str">
        <f t="shared" si="13"/>
        <v/>
      </c>
      <c r="AH769" s="531" t="str">
        <f t="shared" si="14"/>
        <v/>
      </c>
      <c r="AI769" s="531" t="str">
        <f t="shared" si="15"/>
        <v/>
      </c>
      <c r="AJ769" s="531" t="str">
        <f t="shared" si="16"/>
        <v/>
      </c>
      <c r="AK769" s="531" t="str">
        <f t="shared" si="17"/>
        <v/>
      </c>
      <c r="AL769" s="531" t="str">
        <f t="shared" si="18"/>
        <v/>
      </c>
      <c r="AM769" s="531" t="str">
        <f t="shared" si="19"/>
        <v/>
      </c>
      <c r="AN769" s="531" t="str">
        <f t="shared" si="20"/>
        <v/>
      </c>
      <c r="AO769" s="531" t="str">
        <f t="shared" si="21"/>
        <v/>
      </c>
      <c r="AP769" s="531" t="str">
        <f t="shared" si="22"/>
        <v/>
      </c>
      <c r="AQ769" s="531" t="str">
        <f t="shared" si="23"/>
        <v/>
      </c>
      <c r="AR769" s="531" t="str">
        <f t="shared" si="24"/>
        <v/>
      </c>
      <c r="AS769" s="531" t="str">
        <f t="shared" si="25"/>
        <v/>
      </c>
      <c r="AT769" s="531" t="str">
        <f t="shared" si="26"/>
        <v/>
      </c>
      <c r="AU769" s="531" t="str">
        <f t="shared" si="27"/>
        <v/>
      </c>
      <c r="AV769" s="531" t="str">
        <f t="shared" si="28"/>
        <v/>
      </c>
      <c r="AW769" s="531" t="str">
        <f t="shared" si="29"/>
        <v/>
      </c>
      <c r="AX769" s="531" t="str">
        <f t="shared" si="30"/>
        <v/>
      </c>
      <c r="AY769" s="531" t="str">
        <f t="shared" si="31"/>
        <v/>
      </c>
      <c r="AZ769" s="531" t="str">
        <f t="shared" si="32"/>
        <v/>
      </c>
      <c r="BA769" s="531" t="str">
        <f t="shared" si="33"/>
        <v/>
      </c>
      <c r="BB769" s="531" t="str">
        <f t="shared" si="34"/>
        <v/>
      </c>
      <c r="BC769" s="531" t="str">
        <f t="shared" si="35"/>
        <v/>
      </c>
      <c r="BD769" s="531" t="str">
        <f t="shared" si="36"/>
        <v/>
      </c>
      <c r="BE769" s="531" t="str">
        <f t="shared" si="37"/>
        <v/>
      </c>
      <c r="BF769" s="531" t="str">
        <f t="shared" si="38"/>
        <v/>
      </c>
      <c r="BG769" s="531" t="str">
        <f t="shared" si="39"/>
        <v/>
      </c>
      <c r="BH769" s="531" t="str">
        <f t="shared" si="40"/>
        <v/>
      </c>
      <c r="BI769" s="531" t="str">
        <f t="shared" si="41"/>
        <v/>
      </c>
      <c r="BJ769" s="531" t="str">
        <f t="shared" si="42"/>
        <v/>
      </c>
      <c r="BK769" s="531" t="str">
        <f t="shared" si="43"/>
        <v/>
      </c>
      <c r="BL769" s="531" t="str">
        <f t="shared" si="44"/>
        <v/>
      </c>
      <c r="BM769" s="531" t="str">
        <f t="shared" si="45"/>
        <v/>
      </c>
      <c r="BN769" s="531" t="str">
        <f t="shared" si="46"/>
        <v/>
      </c>
      <c r="BO769" s="531" t="str">
        <f t="shared" si="47"/>
        <v/>
      </c>
      <c r="BP769" s="531" t="str">
        <f t="shared" si="48"/>
        <v/>
      </c>
      <c r="BQ769" s="531" t="str">
        <f t="shared" si="49"/>
        <v/>
      </c>
      <c r="BR769" s="531" t="str">
        <f t="shared" si="50"/>
        <v/>
      </c>
      <c r="BS769" s="531" t="str">
        <f t="shared" si="51"/>
        <v/>
      </c>
      <c r="BT769" s="531" t="str">
        <f t="shared" si="52"/>
        <v/>
      </c>
      <c r="BU769" s="531" t="str">
        <f t="shared" si="53"/>
        <v/>
      </c>
      <c r="BV769" s="531" t="str">
        <f t="shared" si="54"/>
        <v/>
      </c>
      <c r="BW769" s="531" t="str">
        <f t="shared" si="55"/>
        <v/>
      </c>
      <c r="BX769" s="531" t="str">
        <f t="shared" si="56"/>
        <v/>
      </c>
      <c r="BY769" s="531" t="str">
        <f t="shared" si="57"/>
        <v/>
      </c>
      <c r="BZ769" s="531" t="str">
        <f t="shared" si="58"/>
        <v/>
      </c>
      <c r="CA769" s="531" t="str">
        <f t="shared" si="59"/>
        <v/>
      </c>
      <c r="CB769" s="531" t="str">
        <f t="shared" si="60"/>
        <v/>
      </c>
      <c r="CC769" s="531" t="str">
        <f t="shared" si="61"/>
        <v/>
      </c>
      <c r="CD769" s="531" t="str">
        <f t="shared" si="62"/>
        <v/>
      </c>
      <c r="CE769" s="531" t="str">
        <f t="shared" si="63"/>
        <v/>
      </c>
      <c r="CF769" s="531" t="str">
        <f t="shared" si="64"/>
        <v/>
      </c>
      <c r="CG769" s="531" t="str">
        <f t="shared" si="65"/>
        <v/>
      </c>
      <c r="CH769" s="531" t="str">
        <f t="shared" si="66"/>
        <v/>
      </c>
      <c r="CI769" s="531" t="str">
        <f t="shared" si="67"/>
        <v/>
      </c>
      <c r="CJ769" s="531" t="str">
        <f t="shared" si="68"/>
        <v/>
      </c>
      <c r="CK769" s="531" t="str">
        <f t="shared" si="69"/>
        <v/>
      </c>
      <c r="CL769" s="531" t="str">
        <f t="shared" si="70"/>
        <v/>
      </c>
      <c r="CM769" s="531" t="str">
        <f t="shared" si="71"/>
        <v/>
      </c>
      <c r="CN769" s="531" t="str">
        <f t="shared" si="72"/>
        <v/>
      </c>
      <c r="CO769" s="531" t="str">
        <f t="shared" si="73"/>
        <v/>
      </c>
      <c r="CP769" s="531" t="str">
        <f t="shared" si="74"/>
        <v/>
      </c>
      <c r="CQ769" s="531" t="str">
        <f t="shared" si="75"/>
        <v/>
      </c>
      <c r="CR769" s="531" t="str">
        <f t="shared" si="76"/>
        <v/>
      </c>
      <c r="CS769" s="531" t="str">
        <f t="shared" si="77"/>
        <v/>
      </c>
      <c r="CT769" s="531" t="str">
        <f t="shared" si="78"/>
        <v/>
      </c>
      <c r="CU769" s="531" t="str">
        <f t="shared" si="79"/>
        <v/>
      </c>
      <c r="CV769" s="531" t="str">
        <f t="shared" si="80"/>
        <v/>
      </c>
      <c r="CW769" s="531" t="str">
        <f t="shared" si="81"/>
        <v/>
      </c>
      <c r="CX769" s="531" t="str">
        <f t="shared" si="82"/>
        <v/>
      </c>
      <c r="CY769" s="531" t="str">
        <f t="shared" si="83"/>
        <v/>
      </c>
      <c r="CZ769" s="531" t="str">
        <f t="shared" si="84"/>
        <v/>
      </c>
      <c r="DA769" s="531" t="str">
        <f t="shared" si="85"/>
        <v/>
      </c>
      <c r="DB769" s="531" t="str">
        <f t="shared" si="86"/>
        <v/>
      </c>
      <c r="DC769" s="531" t="str">
        <f t="shared" si="87"/>
        <v/>
      </c>
      <c r="DD769" s="531" t="str">
        <f t="shared" si="88"/>
        <v/>
      </c>
      <c r="DE769" s="531" t="str">
        <f t="shared" si="89"/>
        <v/>
      </c>
      <c r="DF769" s="531" t="str">
        <f t="shared" si="90"/>
        <v/>
      </c>
      <c r="DG769" s="531" t="str">
        <f t="shared" si="91"/>
        <v/>
      </c>
      <c r="DH769" s="531" t="str">
        <f t="shared" si="92"/>
        <v/>
      </c>
      <c r="DI769" s="531" t="str">
        <f t="shared" si="93"/>
        <v/>
      </c>
      <c r="DJ769" s="531" t="str">
        <f t="shared" si="94"/>
        <v/>
      </c>
      <c r="DK769" s="531" t="str">
        <f t="shared" si="95"/>
        <v/>
      </c>
      <c r="DL769" s="531" t="str">
        <f t="shared" si="96"/>
        <v/>
      </c>
      <c r="DM769" s="531" t="str">
        <f t="shared" si="97"/>
        <v/>
      </c>
      <c r="DN769" s="531" t="str">
        <f t="shared" si="98"/>
        <v/>
      </c>
      <c r="DO769" s="531" t="str">
        <f t="shared" si="99"/>
        <v/>
      </c>
      <c r="DP769" s="531" t="str">
        <f t="shared" si="100"/>
        <v/>
      </c>
      <c r="DQ769" s="531" t="str">
        <f t="shared" si="101"/>
        <v/>
      </c>
      <c r="DR769" s="531" t="str">
        <f t="shared" si="102"/>
        <v/>
      </c>
      <c r="DS769" s="531" t="str">
        <f t="shared" si="103"/>
        <v/>
      </c>
      <c r="DT769" s="531" t="str">
        <f t="shared" si="104"/>
        <v/>
      </c>
      <c r="DU769" s="531" t="str">
        <f t="shared" si="105"/>
        <v/>
      </c>
      <c r="DV769" s="531" t="str">
        <f t="shared" si="106"/>
        <v/>
      </c>
      <c r="DW769" s="531" t="str">
        <f t="shared" si="107"/>
        <v/>
      </c>
      <c r="DX769" s="531" t="str">
        <f t="shared" si="108"/>
        <v/>
      </c>
      <c r="DY769" s="531" t="str">
        <f t="shared" si="109"/>
        <v/>
      </c>
      <c r="DZ769" s="531" t="str">
        <f t="shared" si="110"/>
        <v/>
      </c>
      <c r="EA769" s="531" t="str">
        <f t="shared" si="111"/>
        <v/>
      </c>
      <c r="EB769" s="531" t="str">
        <f t="shared" si="112"/>
        <v/>
      </c>
      <c r="EC769" s="531" t="str">
        <f t="shared" si="113"/>
        <v/>
      </c>
      <c r="ED769" s="531" t="str">
        <f t="shared" si="114"/>
        <v/>
      </c>
      <c r="EE769" s="531" t="str">
        <f t="shared" si="115"/>
        <v/>
      </c>
      <c r="EF769" s="531" t="str">
        <f t="shared" si="116"/>
        <v/>
      </c>
      <c r="EG769" s="531" t="str">
        <f t="shared" si="117"/>
        <v/>
      </c>
      <c r="EH769" s="531" t="str">
        <f t="shared" si="118"/>
        <v/>
      </c>
      <c r="EI769" s="531" t="str">
        <f t="shared" si="119"/>
        <v/>
      </c>
      <c r="EJ769" s="531" t="str">
        <f t="shared" si="120"/>
        <v/>
      </c>
      <c r="EK769" s="531" t="str">
        <f t="shared" si="121"/>
        <v/>
      </c>
      <c r="EL769" s="531" t="str">
        <f t="shared" si="122"/>
        <v/>
      </c>
      <c r="EM769" s="531" t="str">
        <f t="shared" si="123"/>
        <v/>
      </c>
      <c r="EN769" s="531" t="str">
        <f t="shared" si="124"/>
        <v/>
      </c>
      <c r="EO769" s="531" t="str">
        <f t="shared" si="125"/>
        <v/>
      </c>
      <c r="EP769" s="531" t="str">
        <f t="shared" si="126"/>
        <v/>
      </c>
      <c r="EQ769" s="531" t="str">
        <f t="shared" si="127"/>
        <v/>
      </c>
      <c r="ER769" s="531" t="str">
        <f t="shared" si="128"/>
        <v/>
      </c>
      <c r="ES769" s="531" t="str">
        <f t="shared" si="129"/>
        <v/>
      </c>
      <c r="ET769" s="531" t="str">
        <f t="shared" si="130"/>
        <v/>
      </c>
      <c r="EU769" s="531" t="str">
        <f t="shared" si="131"/>
        <v/>
      </c>
      <c r="EV769" s="531" t="str">
        <f t="shared" si="132"/>
        <v/>
      </c>
      <c r="EW769" s="1554" t="str">
        <f t="shared" si="133"/>
        <v/>
      </c>
      <c r="EX769" s="1554" t="str">
        <f t="shared" si="134"/>
        <v/>
      </c>
      <c r="EY769" s="1554" t="str">
        <f t="shared" si="135"/>
        <v/>
      </c>
      <c r="EZ769" s="1554" t="str">
        <f t="shared" si="136"/>
        <v/>
      </c>
      <c r="FA769" s="1554" t="str">
        <f t="shared" si="137"/>
        <v/>
      </c>
      <c r="FB769" s="1554" t="str">
        <f t="shared" si="138"/>
        <v/>
      </c>
      <c r="FC769" s="1554" t="str">
        <f t="shared" si="139"/>
        <v/>
      </c>
      <c r="FD769" s="1554" t="str">
        <f t="shared" si="140"/>
        <v/>
      </c>
      <c r="FE769" s="1554" t="str">
        <f t="shared" si="141"/>
        <v/>
      </c>
      <c r="FF769" s="1554" t="str">
        <f t="shared" si="142"/>
        <v/>
      </c>
      <c r="FG769" s="1554" t="str">
        <f t="shared" si="143"/>
        <v/>
      </c>
      <c r="FH769" s="1554" t="str">
        <f t="shared" si="144"/>
        <v/>
      </c>
      <c r="FI769" s="1554" t="str">
        <f t="shared" si="145"/>
        <v/>
      </c>
      <c r="FJ769" s="1554" t="str">
        <f t="shared" si="146"/>
        <v/>
      </c>
      <c r="FK769" s="1554" t="str">
        <f t="shared" si="147"/>
        <v/>
      </c>
      <c r="FL769" s="1554" t="str">
        <f t="shared" si="148"/>
        <v/>
      </c>
      <c r="FM769" s="1554" t="str">
        <f t="shared" si="149"/>
        <v/>
      </c>
      <c r="FN769" s="1554" t="str">
        <f t="shared" si="150"/>
        <v/>
      </c>
      <c r="FO769" s="1554" t="str">
        <f t="shared" si="151"/>
        <v/>
      </c>
      <c r="FP769" s="1554" t="str">
        <f t="shared" si="152"/>
        <v/>
      </c>
      <c r="FQ769" s="1554" t="str">
        <f t="shared" si="153"/>
        <v/>
      </c>
      <c r="FR769" s="1554" t="str">
        <f t="shared" si="154"/>
        <v/>
      </c>
      <c r="FS769" s="1554" t="str">
        <f t="shared" si="155"/>
        <v/>
      </c>
      <c r="FT769" s="1554" t="str">
        <f t="shared" si="156"/>
        <v/>
      </c>
      <c r="FU769" s="1554" t="str">
        <f t="shared" si="157"/>
        <v/>
      </c>
      <c r="FV769" s="1554" t="str">
        <f t="shared" si="158"/>
        <v/>
      </c>
      <c r="FW769" s="1554" t="str">
        <f t="shared" si="159"/>
        <v/>
      </c>
      <c r="FX769" s="1554" t="str">
        <f t="shared" si="160"/>
        <v/>
      </c>
      <c r="FY769" s="1554" t="str">
        <f t="shared" si="161"/>
        <v/>
      </c>
      <c r="FZ769" s="1554" t="str">
        <f t="shared" si="162"/>
        <v/>
      </c>
      <c r="GA769" s="1554" t="str">
        <f t="shared" si="163"/>
        <v/>
      </c>
      <c r="GB769" s="1554" t="str">
        <f t="shared" si="164"/>
        <v/>
      </c>
      <c r="GC769" s="1554" t="str">
        <f t="shared" si="165"/>
        <v/>
      </c>
      <c r="GD769" s="1554" t="str">
        <f t="shared" si="166"/>
        <v/>
      </c>
      <c r="GE769" s="1554" t="str">
        <f t="shared" si="167"/>
        <v/>
      </c>
      <c r="GF769" s="1554" t="str">
        <f t="shared" si="168"/>
        <v/>
      </c>
      <c r="GG769" s="1554" t="str">
        <f t="shared" si="169"/>
        <v/>
      </c>
      <c r="GH769" s="1554" t="str">
        <f t="shared" si="170"/>
        <v/>
      </c>
      <c r="GI769" s="1554" t="str">
        <f t="shared" si="171"/>
        <v/>
      </c>
      <c r="GJ769" s="1554" t="str">
        <f t="shared" si="172"/>
        <v/>
      </c>
      <c r="GK769" s="1554" t="str">
        <f t="shared" si="173"/>
        <v/>
      </c>
      <c r="GL769" s="1554" t="str">
        <f t="shared" si="174"/>
        <v/>
      </c>
      <c r="GM769" s="1554" t="str">
        <f t="shared" si="175"/>
        <v/>
      </c>
      <c r="GN769" s="1554" t="str">
        <f t="shared" si="176"/>
        <v/>
      </c>
      <c r="GO769" s="1554" t="str">
        <f t="shared" si="177"/>
        <v/>
      </c>
      <c r="GP769" s="1554" t="str">
        <f t="shared" si="178"/>
        <v/>
      </c>
      <c r="GQ769" s="1554" t="str">
        <f t="shared" si="179"/>
        <v/>
      </c>
      <c r="GR769" s="1554" t="str">
        <f t="shared" si="180"/>
        <v/>
      </c>
      <c r="GS769" s="1554" t="str">
        <f t="shared" si="181"/>
        <v/>
      </c>
      <c r="GT769" s="1554" t="str">
        <f t="shared" si="182"/>
        <v/>
      </c>
      <c r="GU769" s="1554" t="str">
        <f t="shared" si="183"/>
        <v/>
      </c>
      <c r="GV769" s="1554" t="str">
        <f t="shared" si="184"/>
        <v/>
      </c>
      <c r="GW769" s="1554" t="str">
        <f t="shared" si="185"/>
        <v/>
      </c>
      <c r="GX769" s="1554" t="str">
        <f t="shared" si="186"/>
        <v/>
      </c>
      <c r="GY769" s="1554" t="str">
        <f t="shared" si="187"/>
        <v/>
      </c>
      <c r="GZ769" s="1554" t="str">
        <f t="shared" si="188"/>
        <v/>
      </c>
      <c r="HA769" s="1554" t="str">
        <f t="shared" si="189"/>
        <v/>
      </c>
      <c r="HB769" s="1554" t="str">
        <f t="shared" si="190"/>
        <v/>
      </c>
      <c r="HC769" s="1554" t="str">
        <f t="shared" si="191"/>
        <v/>
      </c>
      <c r="HD769" s="1554" t="str">
        <f t="shared" si="192"/>
        <v/>
      </c>
      <c r="HE769" s="1554" t="str">
        <f t="shared" si="193"/>
        <v/>
      </c>
      <c r="HF769" s="1554" t="str">
        <f t="shared" si="194"/>
        <v/>
      </c>
      <c r="HG769" s="1554" t="str">
        <f t="shared" si="195"/>
        <v/>
      </c>
      <c r="HH769" s="1554" t="str">
        <f t="shared" si="196"/>
        <v/>
      </c>
      <c r="HI769" s="1554" t="str">
        <f t="shared" si="197"/>
        <v/>
      </c>
      <c r="HJ769" s="1554" t="str">
        <f t="shared" si="198"/>
        <v/>
      </c>
      <c r="HK769" s="1554" t="str">
        <f t="shared" si="199"/>
        <v/>
      </c>
      <c r="HL769" s="1554" t="str">
        <f t="shared" si="200"/>
        <v/>
      </c>
      <c r="HM769" s="1554" t="str">
        <f t="shared" si="201"/>
        <v/>
      </c>
      <c r="HN769" s="1554" t="str">
        <f t="shared" si="202"/>
        <v/>
      </c>
      <c r="HO769" s="1554" t="str">
        <f t="shared" si="203"/>
        <v/>
      </c>
      <c r="HP769" s="1554" t="str">
        <f t="shared" si="204"/>
        <v/>
      </c>
      <c r="HQ769" s="1554" t="str">
        <f t="shared" si="205"/>
        <v/>
      </c>
      <c r="HR769" s="1554" t="str">
        <f t="shared" si="206"/>
        <v/>
      </c>
      <c r="HS769" s="1554" t="str">
        <f t="shared" si="207"/>
        <v/>
      </c>
      <c r="HT769" s="1554" t="str">
        <f t="shared" si="208"/>
        <v/>
      </c>
      <c r="HU769" s="1554" t="str">
        <f t="shared" si="209"/>
        <v/>
      </c>
      <c r="HV769" s="1554" t="str">
        <f t="shared" si="210"/>
        <v/>
      </c>
      <c r="HW769" s="1554" t="str">
        <f t="shared" si="211"/>
        <v/>
      </c>
      <c r="HX769" s="1554" t="str">
        <f t="shared" si="212"/>
        <v/>
      </c>
      <c r="HY769" s="1554" t="str">
        <f t="shared" si="213"/>
        <v/>
      </c>
      <c r="HZ769" s="1554" t="str">
        <f t="shared" si="214"/>
        <v/>
      </c>
      <c r="IA769" s="1554" t="str">
        <f t="shared" si="215"/>
        <v/>
      </c>
      <c r="IB769" s="1554" t="str">
        <f t="shared" si="216"/>
        <v/>
      </c>
      <c r="IC769" s="1554" t="str">
        <f t="shared" si="217"/>
        <v/>
      </c>
      <c r="ID769" s="31" t="str">
        <f t="shared" si="218"/>
        <v/>
      </c>
      <c r="IE769" s="31" t="str">
        <f t="shared" si="219"/>
        <v/>
      </c>
      <c r="IF769" s="31" t="str">
        <f t="shared" si="220"/>
        <v/>
      </c>
      <c r="IG769" s="31" t="str">
        <f t="shared" si="221"/>
        <v/>
      </c>
      <c r="IH769" s="31" t="str">
        <f t="shared" si="222"/>
        <v/>
      </c>
      <c r="II769" s="531" t="str">
        <f t="shared" si="223"/>
        <v/>
      </c>
      <c r="IJ769" s="531" t="str">
        <f t="shared" si="224"/>
        <v/>
      </c>
      <c r="IK769" s="531" t="str">
        <f t="shared" si="225"/>
        <v/>
      </c>
      <c r="IL769" s="531" t="str">
        <f t="shared" si="226"/>
        <v/>
      </c>
      <c r="IM769" s="531" t="str">
        <f t="shared" si="227"/>
        <v/>
      </c>
      <c r="IN769" s="531" t="str">
        <f t="shared" si="228"/>
        <v/>
      </c>
      <c r="IO769" s="531" t="str">
        <f t="shared" si="229"/>
        <v/>
      </c>
      <c r="IP769" s="531" t="str">
        <f t="shared" si="230"/>
        <v/>
      </c>
      <c r="IQ769" s="531" t="str">
        <f t="shared" si="231"/>
        <v/>
      </c>
      <c r="IR769" s="531" t="str">
        <f t="shared" si="232"/>
        <v/>
      </c>
      <c r="IS769" s="531" t="str">
        <f t="shared" si="233"/>
        <v/>
      </c>
      <c r="IT769" s="531" t="str">
        <f t="shared" si="234"/>
        <v/>
      </c>
      <c r="IU769" s="531" t="str">
        <f t="shared" si="235"/>
        <v/>
      </c>
      <c r="IV769" s="531" t="str">
        <f t="shared" si="236"/>
        <v/>
      </c>
      <c r="IW769" s="531" t="str">
        <f t="shared" si="237"/>
        <v/>
      </c>
      <c r="IX769" s="531" t="str">
        <f t="shared" si="238"/>
        <v/>
      </c>
      <c r="IY769" s="531" t="str">
        <f t="shared" si="239"/>
        <v/>
      </c>
      <c r="IZ769" s="531" t="str">
        <f t="shared" si="240"/>
        <v/>
      </c>
      <c r="JA769" s="531" t="str">
        <f t="shared" si="241"/>
        <v/>
      </c>
      <c r="JB769" s="531" t="str">
        <f t="shared" si="242"/>
        <v/>
      </c>
      <c r="JC769" s="615">
        <f t="shared" si="243"/>
        <v>0</v>
      </c>
      <c r="JD769" s="615">
        <f t="shared" si="244"/>
        <v>0</v>
      </c>
      <c r="JE769" s="615">
        <f t="shared" si="245"/>
        <v>0</v>
      </c>
      <c r="JF769" s="615">
        <f t="shared" si="246"/>
        <v>0</v>
      </c>
      <c r="JG769" s="615">
        <f t="shared" si="247"/>
        <v>0</v>
      </c>
      <c r="JH769" s="615">
        <f t="shared" si="248"/>
        <v>0</v>
      </c>
      <c r="JI769" s="615">
        <f t="shared" si="249"/>
        <v>0</v>
      </c>
      <c r="JJ769" s="615">
        <f t="shared" si="250"/>
        <v>0</v>
      </c>
      <c r="JK769" s="615">
        <f t="shared" si="251"/>
        <v>0</v>
      </c>
      <c r="JL769" s="615">
        <f t="shared" si="252"/>
        <v>0</v>
      </c>
      <c r="JM769" s="615">
        <f t="shared" si="253"/>
        <v>0</v>
      </c>
      <c r="JN769" s="615">
        <f t="shared" si="254"/>
        <v>0</v>
      </c>
      <c r="JO769" s="615">
        <f t="shared" si="255"/>
        <v>0</v>
      </c>
      <c r="JP769" s="615">
        <f t="shared" si="256"/>
        <v>0</v>
      </c>
      <c r="JQ769" s="615">
        <f t="shared" si="257"/>
        <v>0</v>
      </c>
    </row>
    <row r="770" spans="1:277" ht="12" customHeight="1">
      <c r="A770" s="1190" t="str">
        <f t="shared" si="0"/>
        <v/>
      </c>
      <c r="B770" s="1545" t="str">
        <f>'Part VI-Revenues &amp; Expenses'!B27</f>
        <v>&lt;&lt;Select&gt;&gt;</v>
      </c>
      <c r="C770" s="1546">
        <f>'Part VI-Revenues &amp; Expenses'!C27</f>
        <v>0</v>
      </c>
      <c r="D770" s="1547">
        <f>'Part VI-Revenues &amp; Expenses'!D27</f>
        <v>0</v>
      </c>
      <c r="E770" s="1548">
        <f>'Part VI-Revenues &amp; Expenses'!E27</f>
        <v>0</v>
      </c>
      <c r="F770" s="1548">
        <f>'Part VI-Revenues &amp; Expenses'!F27</f>
        <v>0</v>
      </c>
      <c r="G770" s="1548">
        <f>'Part VI-Revenues &amp; Expenses'!G27</f>
        <v>0</v>
      </c>
      <c r="H770" s="1548">
        <f>'Part VI-Revenues &amp; Expenses'!H27</f>
        <v>0</v>
      </c>
      <c r="I770" s="1548">
        <f>'Part VI-Revenues &amp; Expenses'!I27</f>
        <v>0</v>
      </c>
      <c r="J770" s="1549">
        <f>'Part VI-Revenues &amp; Expenses'!J27</f>
        <v>0</v>
      </c>
      <c r="K770" s="1550">
        <f t="shared" si="1"/>
        <v>0</v>
      </c>
      <c r="L770" s="1550">
        <f t="shared" si="2"/>
        <v>0</v>
      </c>
      <c r="M770" s="1551">
        <f>'Part VI-Revenues &amp; Expenses'!M27</f>
        <v>0</v>
      </c>
      <c r="N770" s="1551">
        <f>'Part VI-Revenues &amp; Expenses'!N27</f>
        <v>0</v>
      </c>
      <c r="O770" s="1551">
        <f>'Part VI-Revenues &amp; Expenses'!O27</f>
        <v>0</v>
      </c>
      <c r="P770" s="1406">
        <f>'Part VI-Revenues &amp; Expenses'!P27</f>
        <v>0</v>
      </c>
      <c r="Q770" s="1552" t="str">
        <f>'Part VI-Revenues &amp; Expenses'!Q27</f>
        <v/>
      </c>
      <c r="R770" s="1553" t="str">
        <f>'Part VI-Revenues &amp; Expenses'!R27</f>
        <v/>
      </c>
      <c r="S770" s="1552">
        <f>'Part VI-Revenues &amp; Expenses'!S27</f>
        <v>0</v>
      </c>
      <c r="T770" s="1553">
        <f>'Part VI-Revenues &amp; Expenses'!T27</f>
        <v>0</v>
      </c>
      <c r="U770" s="1477"/>
      <c r="V770" s="1477"/>
      <c r="W770" s="531" t="str">
        <f t="shared" si="3"/>
        <v/>
      </c>
      <c r="X770" s="531" t="str">
        <f t="shared" si="4"/>
        <v/>
      </c>
      <c r="Y770" s="531" t="str">
        <f t="shared" si="5"/>
        <v/>
      </c>
      <c r="Z770" s="531" t="str">
        <f t="shared" si="6"/>
        <v/>
      </c>
      <c r="AA770" s="531" t="str">
        <f t="shared" si="7"/>
        <v/>
      </c>
      <c r="AB770" s="531" t="str">
        <f t="shared" si="8"/>
        <v/>
      </c>
      <c r="AC770" s="531" t="str">
        <f t="shared" si="9"/>
        <v/>
      </c>
      <c r="AD770" s="531" t="str">
        <f t="shared" si="10"/>
        <v/>
      </c>
      <c r="AE770" s="531" t="str">
        <f t="shared" si="11"/>
        <v/>
      </c>
      <c r="AF770" s="531" t="str">
        <f t="shared" si="12"/>
        <v/>
      </c>
      <c r="AG770" s="531" t="str">
        <f t="shared" si="13"/>
        <v/>
      </c>
      <c r="AH770" s="531" t="str">
        <f t="shared" si="14"/>
        <v/>
      </c>
      <c r="AI770" s="531" t="str">
        <f t="shared" si="15"/>
        <v/>
      </c>
      <c r="AJ770" s="531" t="str">
        <f t="shared" si="16"/>
        <v/>
      </c>
      <c r="AK770" s="531" t="str">
        <f t="shared" si="17"/>
        <v/>
      </c>
      <c r="AL770" s="531" t="str">
        <f t="shared" si="18"/>
        <v/>
      </c>
      <c r="AM770" s="531" t="str">
        <f t="shared" si="19"/>
        <v/>
      </c>
      <c r="AN770" s="531" t="str">
        <f t="shared" si="20"/>
        <v/>
      </c>
      <c r="AO770" s="531" t="str">
        <f t="shared" si="21"/>
        <v/>
      </c>
      <c r="AP770" s="531" t="str">
        <f t="shared" si="22"/>
        <v/>
      </c>
      <c r="AQ770" s="531" t="str">
        <f t="shared" si="23"/>
        <v/>
      </c>
      <c r="AR770" s="531" t="str">
        <f t="shared" si="24"/>
        <v/>
      </c>
      <c r="AS770" s="531" t="str">
        <f t="shared" si="25"/>
        <v/>
      </c>
      <c r="AT770" s="531" t="str">
        <f t="shared" si="26"/>
        <v/>
      </c>
      <c r="AU770" s="531" t="str">
        <f t="shared" si="27"/>
        <v/>
      </c>
      <c r="AV770" s="531" t="str">
        <f t="shared" si="28"/>
        <v/>
      </c>
      <c r="AW770" s="531" t="str">
        <f t="shared" si="29"/>
        <v/>
      </c>
      <c r="AX770" s="531" t="str">
        <f t="shared" si="30"/>
        <v/>
      </c>
      <c r="AY770" s="531" t="str">
        <f t="shared" si="31"/>
        <v/>
      </c>
      <c r="AZ770" s="531" t="str">
        <f t="shared" si="32"/>
        <v/>
      </c>
      <c r="BA770" s="531" t="str">
        <f t="shared" si="33"/>
        <v/>
      </c>
      <c r="BB770" s="531" t="str">
        <f t="shared" si="34"/>
        <v/>
      </c>
      <c r="BC770" s="531" t="str">
        <f t="shared" si="35"/>
        <v/>
      </c>
      <c r="BD770" s="531" t="str">
        <f t="shared" si="36"/>
        <v/>
      </c>
      <c r="BE770" s="531" t="str">
        <f t="shared" si="37"/>
        <v/>
      </c>
      <c r="BF770" s="531" t="str">
        <f t="shared" si="38"/>
        <v/>
      </c>
      <c r="BG770" s="531" t="str">
        <f t="shared" si="39"/>
        <v/>
      </c>
      <c r="BH770" s="531" t="str">
        <f t="shared" si="40"/>
        <v/>
      </c>
      <c r="BI770" s="531" t="str">
        <f t="shared" si="41"/>
        <v/>
      </c>
      <c r="BJ770" s="531" t="str">
        <f t="shared" si="42"/>
        <v/>
      </c>
      <c r="BK770" s="531" t="str">
        <f t="shared" si="43"/>
        <v/>
      </c>
      <c r="BL770" s="531" t="str">
        <f t="shared" si="44"/>
        <v/>
      </c>
      <c r="BM770" s="531" t="str">
        <f t="shared" si="45"/>
        <v/>
      </c>
      <c r="BN770" s="531" t="str">
        <f t="shared" si="46"/>
        <v/>
      </c>
      <c r="BO770" s="531" t="str">
        <f t="shared" si="47"/>
        <v/>
      </c>
      <c r="BP770" s="531" t="str">
        <f t="shared" si="48"/>
        <v/>
      </c>
      <c r="BQ770" s="531" t="str">
        <f t="shared" si="49"/>
        <v/>
      </c>
      <c r="BR770" s="531" t="str">
        <f t="shared" si="50"/>
        <v/>
      </c>
      <c r="BS770" s="531" t="str">
        <f t="shared" si="51"/>
        <v/>
      </c>
      <c r="BT770" s="531" t="str">
        <f t="shared" si="52"/>
        <v/>
      </c>
      <c r="BU770" s="531" t="str">
        <f t="shared" si="53"/>
        <v/>
      </c>
      <c r="BV770" s="531" t="str">
        <f t="shared" si="54"/>
        <v/>
      </c>
      <c r="BW770" s="531" t="str">
        <f t="shared" si="55"/>
        <v/>
      </c>
      <c r="BX770" s="531" t="str">
        <f t="shared" si="56"/>
        <v/>
      </c>
      <c r="BY770" s="531" t="str">
        <f t="shared" si="57"/>
        <v/>
      </c>
      <c r="BZ770" s="531" t="str">
        <f t="shared" si="58"/>
        <v/>
      </c>
      <c r="CA770" s="531" t="str">
        <f t="shared" si="59"/>
        <v/>
      </c>
      <c r="CB770" s="531" t="str">
        <f t="shared" si="60"/>
        <v/>
      </c>
      <c r="CC770" s="531" t="str">
        <f t="shared" si="61"/>
        <v/>
      </c>
      <c r="CD770" s="531" t="str">
        <f t="shared" si="62"/>
        <v/>
      </c>
      <c r="CE770" s="531" t="str">
        <f t="shared" si="63"/>
        <v/>
      </c>
      <c r="CF770" s="531" t="str">
        <f t="shared" si="64"/>
        <v/>
      </c>
      <c r="CG770" s="531" t="str">
        <f t="shared" si="65"/>
        <v/>
      </c>
      <c r="CH770" s="531" t="str">
        <f t="shared" si="66"/>
        <v/>
      </c>
      <c r="CI770" s="531" t="str">
        <f t="shared" si="67"/>
        <v/>
      </c>
      <c r="CJ770" s="531" t="str">
        <f t="shared" si="68"/>
        <v/>
      </c>
      <c r="CK770" s="531" t="str">
        <f t="shared" si="69"/>
        <v/>
      </c>
      <c r="CL770" s="531" t="str">
        <f t="shared" si="70"/>
        <v/>
      </c>
      <c r="CM770" s="531" t="str">
        <f t="shared" si="71"/>
        <v/>
      </c>
      <c r="CN770" s="531" t="str">
        <f t="shared" si="72"/>
        <v/>
      </c>
      <c r="CO770" s="531" t="str">
        <f t="shared" si="73"/>
        <v/>
      </c>
      <c r="CP770" s="531" t="str">
        <f t="shared" si="74"/>
        <v/>
      </c>
      <c r="CQ770" s="531" t="str">
        <f t="shared" si="75"/>
        <v/>
      </c>
      <c r="CR770" s="531" t="str">
        <f t="shared" si="76"/>
        <v/>
      </c>
      <c r="CS770" s="531" t="str">
        <f t="shared" si="77"/>
        <v/>
      </c>
      <c r="CT770" s="531" t="str">
        <f t="shared" si="78"/>
        <v/>
      </c>
      <c r="CU770" s="531" t="str">
        <f t="shared" si="79"/>
        <v/>
      </c>
      <c r="CV770" s="531" t="str">
        <f t="shared" si="80"/>
        <v/>
      </c>
      <c r="CW770" s="531" t="str">
        <f t="shared" si="81"/>
        <v/>
      </c>
      <c r="CX770" s="531" t="str">
        <f t="shared" si="82"/>
        <v/>
      </c>
      <c r="CY770" s="531" t="str">
        <f t="shared" si="83"/>
        <v/>
      </c>
      <c r="CZ770" s="531" t="str">
        <f t="shared" si="84"/>
        <v/>
      </c>
      <c r="DA770" s="531" t="str">
        <f t="shared" si="85"/>
        <v/>
      </c>
      <c r="DB770" s="531" t="str">
        <f t="shared" si="86"/>
        <v/>
      </c>
      <c r="DC770" s="531" t="str">
        <f t="shared" si="87"/>
        <v/>
      </c>
      <c r="DD770" s="531" t="str">
        <f t="shared" si="88"/>
        <v/>
      </c>
      <c r="DE770" s="531" t="str">
        <f t="shared" si="89"/>
        <v/>
      </c>
      <c r="DF770" s="531" t="str">
        <f t="shared" si="90"/>
        <v/>
      </c>
      <c r="DG770" s="531" t="str">
        <f t="shared" si="91"/>
        <v/>
      </c>
      <c r="DH770" s="531" t="str">
        <f t="shared" si="92"/>
        <v/>
      </c>
      <c r="DI770" s="531" t="str">
        <f t="shared" si="93"/>
        <v/>
      </c>
      <c r="DJ770" s="531" t="str">
        <f t="shared" si="94"/>
        <v/>
      </c>
      <c r="DK770" s="531" t="str">
        <f t="shared" si="95"/>
        <v/>
      </c>
      <c r="DL770" s="531" t="str">
        <f t="shared" si="96"/>
        <v/>
      </c>
      <c r="DM770" s="531" t="str">
        <f t="shared" si="97"/>
        <v/>
      </c>
      <c r="DN770" s="531" t="str">
        <f t="shared" si="98"/>
        <v/>
      </c>
      <c r="DO770" s="531" t="str">
        <f t="shared" si="99"/>
        <v/>
      </c>
      <c r="DP770" s="531" t="str">
        <f t="shared" si="100"/>
        <v/>
      </c>
      <c r="DQ770" s="531" t="str">
        <f t="shared" si="101"/>
        <v/>
      </c>
      <c r="DR770" s="531" t="str">
        <f t="shared" si="102"/>
        <v/>
      </c>
      <c r="DS770" s="531" t="str">
        <f t="shared" si="103"/>
        <v/>
      </c>
      <c r="DT770" s="531" t="str">
        <f t="shared" si="104"/>
        <v/>
      </c>
      <c r="DU770" s="531" t="str">
        <f t="shared" si="105"/>
        <v/>
      </c>
      <c r="DV770" s="531" t="str">
        <f t="shared" si="106"/>
        <v/>
      </c>
      <c r="DW770" s="531" t="str">
        <f t="shared" si="107"/>
        <v/>
      </c>
      <c r="DX770" s="531" t="str">
        <f t="shared" si="108"/>
        <v/>
      </c>
      <c r="DY770" s="531" t="str">
        <f t="shared" si="109"/>
        <v/>
      </c>
      <c r="DZ770" s="531" t="str">
        <f t="shared" si="110"/>
        <v/>
      </c>
      <c r="EA770" s="531" t="str">
        <f t="shared" si="111"/>
        <v/>
      </c>
      <c r="EB770" s="531" t="str">
        <f t="shared" si="112"/>
        <v/>
      </c>
      <c r="EC770" s="531" t="str">
        <f t="shared" si="113"/>
        <v/>
      </c>
      <c r="ED770" s="531" t="str">
        <f t="shared" si="114"/>
        <v/>
      </c>
      <c r="EE770" s="531" t="str">
        <f t="shared" si="115"/>
        <v/>
      </c>
      <c r="EF770" s="531" t="str">
        <f t="shared" si="116"/>
        <v/>
      </c>
      <c r="EG770" s="531" t="str">
        <f t="shared" si="117"/>
        <v/>
      </c>
      <c r="EH770" s="531" t="str">
        <f t="shared" si="118"/>
        <v/>
      </c>
      <c r="EI770" s="531" t="str">
        <f t="shared" si="119"/>
        <v/>
      </c>
      <c r="EJ770" s="531" t="str">
        <f t="shared" si="120"/>
        <v/>
      </c>
      <c r="EK770" s="531" t="str">
        <f t="shared" si="121"/>
        <v/>
      </c>
      <c r="EL770" s="531" t="str">
        <f t="shared" si="122"/>
        <v/>
      </c>
      <c r="EM770" s="531" t="str">
        <f t="shared" si="123"/>
        <v/>
      </c>
      <c r="EN770" s="531" t="str">
        <f t="shared" si="124"/>
        <v/>
      </c>
      <c r="EO770" s="531" t="str">
        <f t="shared" si="125"/>
        <v/>
      </c>
      <c r="EP770" s="531" t="str">
        <f t="shared" si="126"/>
        <v/>
      </c>
      <c r="EQ770" s="531" t="str">
        <f t="shared" si="127"/>
        <v/>
      </c>
      <c r="ER770" s="531" t="str">
        <f t="shared" si="128"/>
        <v/>
      </c>
      <c r="ES770" s="531" t="str">
        <f t="shared" si="129"/>
        <v/>
      </c>
      <c r="ET770" s="531" t="str">
        <f t="shared" si="130"/>
        <v/>
      </c>
      <c r="EU770" s="531" t="str">
        <f t="shared" si="131"/>
        <v/>
      </c>
      <c r="EV770" s="531" t="str">
        <f t="shared" si="132"/>
        <v/>
      </c>
      <c r="EW770" s="1554" t="str">
        <f t="shared" si="133"/>
        <v/>
      </c>
      <c r="EX770" s="1554" t="str">
        <f t="shared" si="134"/>
        <v/>
      </c>
      <c r="EY770" s="1554" t="str">
        <f t="shared" si="135"/>
        <v/>
      </c>
      <c r="EZ770" s="1554" t="str">
        <f t="shared" si="136"/>
        <v/>
      </c>
      <c r="FA770" s="1554" t="str">
        <f t="shared" si="137"/>
        <v/>
      </c>
      <c r="FB770" s="1554" t="str">
        <f t="shared" si="138"/>
        <v/>
      </c>
      <c r="FC770" s="1554" t="str">
        <f t="shared" si="139"/>
        <v/>
      </c>
      <c r="FD770" s="1554" t="str">
        <f t="shared" si="140"/>
        <v/>
      </c>
      <c r="FE770" s="1554" t="str">
        <f t="shared" si="141"/>
        <v/>
      </c>
      <c r="FF770" s="1554" t="str">
        <f t="shared" si="142"/>
        <v/>
      </c>
      <c r="FG770" s="1554" t="str">
        <f t="shared" si="143"/>
        <v/>
      </c>
      <c r="FH770" s="1554" t="str">
        <f t="shared" si="144"/>
        <v/>
      </c>
      <c r="FI770" s="1554" t="str">
        <f t="shared" si="145"/>
        <v/>
      </c>
      <c r="FJ770" s="1554" t="str">
        <f t="shared" si="146"/>
        <v/>
      </c>
      <c r="FK770" s="1554" t="str">
        <f t="shared" si="147"/>
        <v/>
      </c>
      <c r="FL770" s="1554" t="str">
        <f t="shared" si="148"/>
        <v/>
      </c>
      <c r="FM770" s="1554" t="str">
        <f t="shared" si="149"/>
        <v/>
      </c>
      <c r="FN770" s="1554" t="str">
        <f t="shared" si="150"/>
        <v/>
      </c>
      <c r="FO770" s="1554" t="str">
        <f t="shared" si="151"/>
        <v/>
      </c>
      <c r="FP770" s="1554" t="str">
        <f t="shared" si="152"/>
        <v/>
      </c>
      <c r="FQ770" s="1554" t="str">
        <f t="shared" si="153"/>
        <v/>
      </c>
      <c r="FR770" s="1554" t="str">
        <f t="shared" si="154"/>
        <v/>
      </c>
      <c r="FS770" s="1554" t="str">
        <f t="shared" si="155"/>
        <v/>
      </c>
      <c r="FT770" s="1554" t="str">
        <f t="shared" si="156"/>
        <v/>
      </c>
      <c r="FU770" s="1554" t="str">
        <f t="shared" si="157"/>
        <v/>
      </c>
      <c r="FV770" s="1554" t="str">
        <f t="shared" si="158"/>
        <v/>
      </c>
      <c r="FW770" s="1554" t="str">
        <f t="shared" si="159"/>
        <v/>
      </c>
      <c r="FX770" s="1554" t="str">
        <f t="shared" si="160"/>
        <v/>
      </c>
      <c r="FY770" s="1554" t="str">
        <f t="shared" si="161"/>
        <v/>
      </c>
      <c r="FZ770" s="1554" t="str">
        <f t="shared" si="162"/>
        <v/>
      </c>
      <c r="GA770" s="1554" t="str">
        <f t="shared" si="163"/>
        <v/>
      </c>
      <c r="GB770" s="1554" t="str">
        <f t="shared" si="164"/>
        <v/>
      </c>
      <c r="GC770" s="1554" t="str">
        <f t="shared" si="165"/>
        <v/>
      </c>
      <c r="GD770" s="1554" t="str">
        <f t="shared" si="166"/>
        <v/>
      </c>
      <c r="GE770" s="1554" t="str">
        <f t="shared" si="167"/>
        <v/>
      </c>
      <c r="GF770" s="1554" t="str">
        <f t="shared" si="168"/>
        <v/>
      </c>
      <c r="GG770" s="1554" t="str">
        <f t="shared" si="169"/>
        <v/>
      </c>
      <c r="GH770" s="1554" t="str">
        <f t="shared" si="170"/>
        <v/>
      </c>
      <c r="GI770" s="1554" t="str">
        <f t="shared" si="171"/>
        <v/>
      </c>
      <c r="GJ770" s="1554" t="str">
        <f t="shared" si="172"/>
        <v/>
      </c>
      <c r="GK770" s="1554" t="str">
        <f t="shared" si="173"/>
        <v/>
      </c>
      <c r="GL770" s="1554" t="str">
        <f t="shared" si="174"/>
        <v/>
      </c>
      <c r="GM770" s="1554" t="str">
        <f t="shared" si="175"/>
        <v/>
      </c>
      <c r="GN770" s="1554" t="str">
        <f t="shared" si="176"/>
        <v/>
      </c>
      <c r="GO770" s="1554" t="str">
        <f t="shared" si="177"/>
        <v/>
      </c>
      <c r="GP770" s="1554" t="str">
        <f t="shared" si="178"/>
        <v/>
      </c>
      <c r="GQ770" s="1554" t="str">
        <f t="shared" si="179"/>
        <v/>
      </c>
      <c r="GR770" s="1554" t="str">
        <f t="shared" si="180"/>
        <v/>
      </c>
      <c r="GS770" s="1554" t="str">
        <f t="shared" si="181"/>
        <v/>
      </c>
      <c r="GT770" s="1554" t="str">
        <f t="shared" si="182"/>
        <v/>
      </c>
      <c r="GU770" s="1554" t="str">
        <f t="shared" si="183"/>
        <v/>
      </c>
      <c r="GV770" s="1554" t="str">
        <f t="shared" si="184"/>
        <v/>
      </c>
      <c r="GW770" s="1554" t="str">
        <f t="shared" si="185"/>
        <v/>
      </c>
      <c r="GX770" s="1554" t="str">
        <f t="shared" si="186"/>
        <v/>
      </c>
      <c r="GY770" s="1554" t="str">
        <f t="shared" si="187"/>
        <v/>
      </c>
      <c r="GZ770" s="1554" t="str">
        <f t="shared" si="188"/>
        <v/>
      </c>
      <c r="HA770" s="1554" t="str">
        <f t="shared" si="189"/>
        <v/>
      </c>
      <c r="HB770" s="1554" t="str">
        <f t="shared" si="190"/>
        <v/>
      </c>
      <c r="HC770" s="1554" t="str">
        <f t="shared" si="191"/>
        <v/>
      </c>
      <c r="HD770" s="1554" t="str">
        <f t="shared" si="192"/>
        <v/>
      </c>
      <c r="HE770" s="1554" t="str">
        <f t="shared" si="193"/>
        <v/>
      </c>
      <c r="HF770" s="1554" t="str">
        <f t="shared" si="194"/>
        <v/>
      </c>
      <c r="HG770" s="1554" t="str">
        <f t="shared" si="195"/>
        <v/>
      </c>
      <c r="HH770" s="1554" t="str">
        <f t="shared" si="196"/>
        <v/>
      </c>
      <c r="HI770" s="1554" t="str">
        <f t="shared" si="197"/>
        <v/>
      </c>
      <c r="HJ770" s="1554" t="str">
        <f t="shared" si="198"/>
        <v/>
      </c>
      <c r="HK770" s="1554" t="str">
        <f t="shared" si="199"/>
        <v/>
      </c>
      <c r="HL770" s="1554" t="str">
        <f t="shared" si="200"/>
        <v/>
      </c>
      <c r="HM770" s="1554" t="str">
        <f t="shared" si="201"/>
        <v/>
      </c>
      <c r="HN770" s="1554" t="str">
        <f t="shared" si="202"/>
        <v/>
      </c>
      <c r="HO770" s="1554" t="str">
        <f t="shared" si="203"/>
        <v/>
      </c>
      <c r="HP770" s="1554" t="str">
        <f t="shared" si="204"/>
        <v/>
      </c>
      <c r="HQ770" s="1554" t="str">
        <f t="shared" si="205"/>
        <v/>
      </c>
      <c r="HR770" s="1554" t="str">
        <f t="shared" si="206"/>
        <v/>
      </c>
      <c r="HS770" s="1554" t="str">
        <f t="shared" si="207"/>
        <v/>
      </c>
      <c r="HT770" s="1554" t="str">
        <f t="shared" si="208"/>
        <v/>
      </c>
      <c r="HU770" s="1554" t="str">
        <f t="shared" si="209"/>
        <v/>
      </c>
      <c r="HV770" s="1554" t="str">
        <f t="shared" si="210"/>
        <v/>
      </c>
      <c r="HW770" s="1554" t="str">
        <f t="shared" si="211"/>
        <v/>
      </c>
      <c r="HX770" s="1554" t="str">
        <f t="shared" si="212"/>
        <v/>
      </c>
      <c r="HY770" s="1554" t="str">
        <f t="shared" si="213"/>
        <v/>
      </c>
      <c r="HZ770" s="1554" t="str">
        <f t="shared" si="214"/>
        <v/>
      </c>
      <c r="IA770" s="1554" t="str">
        <f t="shared" si="215"/>
        <v/>
      </c>
      <c r="IB770" s="1554" t="str">
        <f t="shared" si="216"/>
        <v/>
      </c>
      <c r="IC770" s="1554" t="str">
        <f t="shared" si="217"/>
        <v/>
      </c>
      <c r="ID770" s="31" t="str">
        <f t="shared" si="218"/>
        <v/>
      </c>
      <c r="IE770" s="31" t="str">
        <f t="shared" si="219"/>
        <v/>
      </c>
      <c r="IF770" s="31" t="str">
        <f t="shared" si="220"/>
        <v/>
      </c>
      <c r="IG770" s="31" t="str">
        <f t="shared" si="221"/>
        <v/>
      </c>
      <c r="IH770" s="31" t="str">
        <f t="shared" si="222"/>
        <v/>
      </c>
      <c r="II770" s="531" t="str">
        <f t="shared" si="223"/>
        <v/>
      </c>
      <c r="IJ770" s="531" t="str">
        <f t="shared" si="224"/>
        <v/>
      </c>
      <c r="IK770" s="531" t="str">
        <f t="shared" si="225"/>
        <v/>
      </c>
      <c r="IL770" s="531" t="str">
        <f t="shared" si="226"/>
        <v/>
      </c>
      <c r="IM770" s="531" t="str">
        <f t="shared" si="227"/>
        <v/>
      </c>
      <c r="IN770" s="531" t="str">
        <f t="shared" si="228"/>
        <v/>
      </c>
      <c r="IO770" s="531" t="str">
        <f t="shared" si="229"/>
        <v/>
      </c>
      <c r="IP770" s="531" t="str">
        <f t="shared" si="230"/>
        <v/>
      </c>
      <c r="IQ770" s="531" t="str">
        <f t="shared" si="231"/>
        <v/>
      </c>
      <c r="IR770" s="531" t="str">
        <f t="shared" si="232"/>
        <v/>
      </c>
      <c r="IS770" s="531" t="str">
        <f t="shared" si="233"/>
        <v/>
      </c>
      <c r="IT770" s="531" t="str">
        <f t="shared" si="234"/>
        <v/>
      </c>
      <c r="IU770" s="531" t="str">
        <f t="shared" si="235"/>
        <v/>
      </c>
      <c r="IV770" s="531" t="str">
        <f t="shared" si="236"/>
        <v/>
      </c>
      <c r="IW770" s="531" t="str">
        <f t="shared" si="237"/>
        <v/>
      </c>
      <c r="IX770" s="531" t="str">
        <f t="shared" si="238"/>
        <v/>
      </c>
      <c r="IY770" s="531" t="str">
        <f t="shared" si="239"/>
        <v/>
      </c>
      <c r="IZ770" s="531" t="str">
        <f t="shared" si="240"/>
        <v/>
      </c>
      <c r="JA770" s="531" t="str">
        <f t="shared" si="241"/>
        <v/>
      </c>
      <c r="JB770" s="531" t="str">
        <f t="shared" si="242"/>
        <v/>
      </c>
      <c r="JC770" s="615">
        <f t="shared" si="243"/>
        <v>0</v>
      </c>
      <c r="JD770" s="615">
        <f t="shared" si="244"/>
        <v>0</v>
      </c>
      <c r="JE770" s="615">
        <f t="shared" si="245"/>
        <v>0</v>
      </c>
      <c r="JF770" s="615">
        <f t="shared" si="246"/>
        <v>0</v>
      </c>
      <c r="JG770" s="615">
        <f t="shared" si="247"/>
        <v>0</v>
      </c>
      <c r="JH770" s="615">
        <f t="shared" si="248"/>
        <v>0</v>
      </c>
      <c r="JI770" s="615">
        <f t="shared" si="249"/>
        <v>0</v>
      </c>
      <c r="JJ770" s="615">
        <f t="shared" si="250"/>
        <v>0</v>
      </c>
      <c r="JK770" s="615">
        <f t="shared" si="251"/>
        <v>0</v>
      </c>
      <c r="JL770" s="615">
        <f t="shared" si="252"/>
        <v>0</v>
      </c>
      <c r="JM770" s="615">
        <f t="shared" si="253"/>
        <v>0</v>
      </c>
      <c r="JN770" s="615">
        <f t="shared" si="254"/>
        <v>0</v>
      </c>
      <c r="JO770" s="615">
        <f t="shared" si="255"/>
        <v>0</v>
      </c>
      <c r="JP770" s="615">
        <f t="shared" si="256"/>
        <v>0</v>
      </c>
      <c r="JQ770" s="615">
        <f t="shared" si="257"/>
        <v>0</v>
      </c>
    </row>
    <row r="771" spans="1:277" ht="12" customHeight="1">
      <c r="A771" s="1190" t="str">
        <f t="shared" si="0"/>
        <v/>
      </c>
      <c r="B771" s="1545" t="str">
        <f>'Part VI-Revenues &amp; Expenses'!B28</f>
        <v>&lt;&lt;Select&gt;&gt;</v>
      </c>
      <c r="C771" s="1546">
        <f>'Part VI-Revenues &amp; Expenses'!C28</f>
        <v>0</v>
      </c>
      <c r="D771" s="1547">
        <f>'Part VI-Revenues &amp; Expenses'!D28</f>
        <v>0</v>
      </c>
      <c r="E771" s="1548">
        <f>'Part VI-Revenues &amp; Expenses'!E28</f>
        <v>0</v>
      </c>
      <c r="F771" s="1548">
        <f>'Part VI-Revenues &amp; Expenses'!F28</f>
        <v>0</v>
      </c>
      <c r="G771" s="1548">
        <f>'Part VI-Revenues &amp; Expenses'!G28</f>
        <v>0</v>
      </c>
      <c r="H771" s="1548">
        <f>'Part VI-Revenues &amp; Expenses'!H28</f>
        <v>0</v>
      </c>
      <c r="I771" s="1548">
        <f>'Part VI-Revenues &amp; Expenses'!I28</f>
        <v>0</v>
      </c>
      <c r="J771" s="1549">
        <f>'Part VI-Revenues &amp; Expenses'!J28</f>
        <v>0</v>
      </c>
      <c r="K771" s="1550">
        <f t="shared" si="1"/>
        <v>0</v>
      </c>
      <c r="L771" s="1550">
        <f t="shared" si="2"/>
        <v>0</v>
      </c>
      <c r="M771" s="1551">
        <f>'Part VI-Revenues &amp; Expenses'!M28</f>
        <v>0</v>
      </c>
      <c r="N771" s="1551">
        <f>'Part VI-Revenues &amp; Expenses'!N28</f>
        <v>0</v>
      </c>
      <c r="O771" s="1551">
        <f>'Part VI-Revenues &amp; Expenses'!O28</f>
        <v>0</v>
      </c>
      <c r="P771" s="1406">
        <f>'Part VI-Revenues &amp; Expenses'!P28</f>
        <v>0</v>
      </c>
      <c r="Q771" s="1552" t="str">
        <f>'Part VI-Revenues &amp; Expenses'!Q28</f>
        <v/>
      </c>
      <c r="R771" s="1553" t="str">
        <f>'Part VI-Revenues &amp; Expenses'!R28</f>
        <v/>
      </c>
      <c r="S771" s="1552">
        <f>'Part VI-Revenues &amp; Expenses'!S28</f>
        <v>0</v>
      </c>
      <c r="T771" s="1553">
        <f>'Part VI-Revenues &amp; Expenses'!T28</f>
        <v>0</v>
      </c>
      <c r="U771" s="1477"/>
      <c r="V771" s="1477"/>
      <c r="W771" s="531" t="str">
        <f t="shared" si="3"/>
        <v/>
      </c>
      <c r="X771" s="531" t="str">
        <f t="shared" si="4"/>
        <v/>
      </c>
      <c r="Y771" s="531" t="str">
        <f t="shared" si="5"/>
        <v/>
      </c>
      <c r="Z771" s="531" t="str">
        <f t="shared" si="6"/>
        <v/>
      </c>
      <c r="AA771" s="531" t="str">
        <f t="shared" si="7"/>
        <v/>
      </c>
      <c r="AB771" s="531" t="str">
        <f t="shared" si="8"/>
        <v/>
      </c>
      <c r="AC771" s="531" t="str">
        <f t="shared" si="9"/>
        <v/>
      </c>
      <c r="AD771" s="531" t="str">
        <f t="shared" si="10"/>
        <v/>
      </c>
      <c r="AE771" s="531" t="str">
        <f t="shared" si="11"/>
        <v/>
      </c>
      <c r="AF771" s="531" t="str">
        <f t="shared" si="12"/>
        <v/>
      </c>
      <c r="AG771" s="531" t="str">
        <f t="shared" si="13"/>
        <v/>
      </c>
      <c r="AH771" s="531" t="str">
        <f t="shared" si="14"/>
        <v/>
      </c>
      <c r="AI771" s="531" t="str">
        <f t="shared" si="15"/>
        <v/>
      </c>
      <c r="AJ771" s="531" t="str">
        <f t="shared" si="16"/>
        <v/>
      </c>
      <c r="AK771" s="531" t="str">
        <f t="shared" si="17"/>
        <v/>
      </c>
      <c r="AL771" s="531" t="str">
        <f t="shared" si="18"/>
        <v/>
      </c>
      <c r="AM771" s="531" t="str">
        <f t="shared" si="19"/>
        <v/>
      </c>
      <c r="AN771" s="531" t="str">
        <f t="shared" si="20"/>
        <v/>
      </c>
      <c r="AO771" s="531" t="str">
        <f t="shared" si="21"/>
        <v/>
      </c>
      <c r="AP771" s="531" t="str">
        <f t="shared" si="22"/>
        <v/>
      </c>
      <c r="AQ771" s="531" t="str">
        <f t="shared" si="23"/>
        <v/>
      </c>
      <c r="AR771" s="531" t="str">
        <f t="shared" si="24"/>
        <v/>
      </c>
      <c r="AS771" s="531" t="str">
        <f t="shared" si="25"/>
        <v/>
      </c>
      <c r="AT771" s="531" t="str">
        <f t="shared" si="26"/>
        <v/>
      </c>
      <c r="AU771" s="531" t="str">
        <f t="shared" si="27"/>
        <v/>
      </c>
      <c r="AV771" s="531" t="str">
        <f t="shared" si="28"/>
        <v/>
      </c>
      <c r="AW771" s="531" t="str">
        <f t="shared" si="29"/>
        <v/>
      </c>
      <c r="AX771" s="531" t="str">
        <f t="shared" si="30"/>
        <v/>
      </c>
      <c r="AY771" s="531" t="str">
        <f t="shared" si="31"/>
        <v/>
      </c>
      <c r="AZ771" s="531" t="str">
        <f t="shared" si="32"/>
        <v/>
      </c>
      <c r="BA771" s="531" t="str">
        <f t="shared" si="33"/>
        <v/>
      </c>
      <c r="BB771" s="531" t="str">
        <f t="shared" si="34"/>
        <v/>
      </c>
      <c r="BC771" s="531" t="str">
        <f t="shared" si="35"/>
        <v/>
      </c>
      <c r="BD771" s="531" t="str">
        <f t="shared" si="36"/>
        <v/>
      </c>
      <c r="BE771" s="531" t="str">
        <f t="shared" si="37"/>
        <v/>
      </c>
      <c r="BF771" s="531" t="str">
        <f t="shared" si="38"/>
        <v/>
      </c>
      <c r="BG771" s="531" t="str">
        <f t="shared" si="39"/>
        <v/>
      </c>
      <c r="BH771" s="531" t="str">
        <f t="shared" si="40"/>
        <v/>
      </c>
      <c r="BI771" s="531" t="str">
        <f t="shared" si="41"/>
        <v/>
      </c>
      <c r="BJ771" s="531" t="str">
        <f t="shared" si="42"/>
        <v/>
      </c>
      <c r="BK771" s="531" t="str">
        <f t="shared" si="43"/>
        <v/>
      </c>
      <c r="BL771" s="531" t="str">
        <f t="shared" si="44"/>
        <v/>
      </c>
      <c r="BM771" s="531" t="str">
        <f t="shared" si="45"/>
        <v/>
      </c>
      <c r="BN771" s="531" t="str">
        <f t="shared" si="46"/>
        <v/>
      </c>
      <c r="BO771" s="531" t="str">
        <f t="shared" si="47"/>
        <v/>
      </c>
      <c r="BP771" s="531" t="str">
        <f t="shared" si="48"/>
        <v/>
      </c>
      <c r="BQ771" s="531" t="str">
        <f t="shared" si="49"/>
        <v/>
      </c>
      <c r="BR771" s="531" t="str">
        <f t="shared" si="50"/>
        <v/>
      </c>
      <c r="BS771" s="531" t="str">
        <f t="shared" si="51"/>
        <v/>
      </c>
      <c r="BT771" s="531" t="str">
        <f t="shared" si="52"/>
        <v/>
      </c>
      <c r="BU771" s="531" t="str">
        <f t="shared" si="53"/>
        <v/>
      </c>
      <c r="BV771" s="531" t="str">
        <f t="shared" si="54"/>
        <v/>
      </c>
      <c r="BW771" s="531" t="str">
        <f t="shared" si="55"/>
        <v/>
      </c>
      <c r="BX771" s="531" t="str">
        <f t="shared" si="56"/>
        <v/>
      </c>
      <c r="BY771" s="531" t="str">
        <f t="shared" si="57"/>
        <v/>
      </c>
      <c r="BZ771" s="531" t="str">
        <f t="shared" si="58"/>
        <v/>
      </c>
      <c r="CA771" s="531" t="str">
        <f t="shared" si="59"/>
        <v/>
      </c>
      <c r="CB771" s="531" t="str">
        <f t="shared" si="60"/>
        <v/>
      </c>
      <c r="CC771" s="531" t="str">
        <f t="shared" si="61"/>
        <v/>
      </c>
      <c r="CD771" s="531" t="str">
        <f t="shared" si="62"/>
        <v/>
      </c>
      <c r="CE771" s="531" t="str">
        <f t="shared" si="63"/>
        <v/>
      </c>
      <c r="CF771" s="531" t="str">
        <f t="shared" si="64"/>
        <v/>
      </c>
      <c r="CG771" s="531" t="str">
        <f t="shared" si="65"/>
        <v/>
      </c>
      <c r="CH771" s="531" t="str">
        <f t="shared" si="66"/>
        <v/>
      </c>
      <c r="CI771" s="531" t="str">
        <f t="shared" si="67"/>
        <v/>
      </c>
      <c r="CJ771" s="531" t="str">
        <f t="shared" si="68"/>
        <v/>
      </c>
      <c r="CK771" s="531" t="str">
        <f t="shared" si="69"/>
        <v/>
      </c>
      <c r="CL771" s="531" t="str">
        <f t="shared" si="70"/>
        <v/>
      </c>
      <c r="CM771" s="531" t="str">
        <f t="shared" si="71"/>
        <v/>
      </c>
      <c r="CN771" s="531" t="str">
        <f t="shared" si="72"/>
        <v/>
      </c>
      <c r="CO771" s="531" t="str">
        <f t="shared" si="73"/>
        <v/>
      </c>
      <c r="CP771" s="531" t="str">
        <f t="shared" si="74"/>
        <v/>
      </c>
      <c r="CQ771" s="531" t="str">
        <f t="shared" si="75"/>
        <v/>
      </c>
      <c r="CR771" s="531" t="str">
        <f t="shared" si="76"/>
        <v/>
      </c>
      <c r="CS771" s="531" t="str">
        <f t="shared" si="77"/>
        <v/>
      </c>
      <c r="CT771" s="531" t="str">
        <f t="shared" si="78"/>
        <v/>
      </c>
      <c r="CU771" s="531" t="str">
        <f t="shared" si="79"/>
        <v/>
      </c>
      <c r="CV771" s="531" t="str">
        <f t="shared" si="80"/>
        <v/>
      </c>
      <c r="CW771" s="531" t="str">
        <f t="shared" si="81"/>
        <v/>
      </c>
      <c r="CX771" s="531" t="str">
        <f t="shared" si="82"/>
        <v/>
      </c>
      <c r="CY771" s="531" t="str">
        <f t="shared" si="83"/>
        <v/>
      </c>
      <c r="CZ771" s="531" t="str">
        <f t="shared" si="84"/>
        <v/>
      </c>
      <c r="DA771" s="531" t="str">
        <f t="shared" si="85"/>
        <v/>
      </c>
      <c r="DB771" s="531" t="str">
        <f t="shared" si="86"/>
        <v/>
      </c>
      <c r="DC771" s="531" t="str">
        <f t="shared" si="87"/>
        <v/>
      </c>
      <c r="DD771" s="531" t="str">
        <f t="shared" si="88"/>
        <v/>
      </c>
      <c r="DE771" s="531" t="str">
        <f t="shared" si="89"/>
        <v/>
      </c>
      <c r="DF771" s="531" t="str">
        <f t="shared" si="90"/>
        <v/>
      </c>
      <c r="DG771" s="531" t="str">
        <f t="shared" si="91"/>
        <v/>
      </c>
      <c r="DH771" s="531" t="str">
        <f t="shared" si="92"/>
        <v/>
      </c>
      <c r="DI771" s="531" t="str">
        <f t="shared" si="93"/>
        <v/>
      </c>
      <c r="DJ771" s="531" t="str">
        <f t="shared" si="94"/>
        <v/>
      </c>
      <c r="DK771" s="531" t="str">
        <f t="shared" si="95"/>
        <v/>
      </c>
      <c r="DL771" s="531" t="str">
        <f t="shared" si="96"/>
        <v/>
      </c>
      <c r="DM771" s="531" t="str">
        <f t="shared" si="97"/>
        <v/>
      </c>
      <c r="DN771" s="531" t="str">
        <f t="shared" si="98"/>
        <v/>
      </c>
      <c r="DO771" s="531" t="str">
        <f t="shared" si="99"/>
        <v/>
      </c>
      <c r="DP771" s="531" t="str">
        <f t="shared" si="100"/>
        <v/>
      </c>
      <c r="DQ771" s="531" t="str">
        <f t="shared" si="101"/>
        <v/>
      </c>
      <c r="DR771" s="531" t="str">
        <f t="shared" si="102"/>
        <v/>
      </c>
      <c r="DS771" s="531" t="str">
        <f t="shared" si="103"/>
        <v/>
      </c>
      <c r="DT771" s="531" t="str">
        <f t="shared" si="104"/>
        <v/>
      </c>
      <c r="DU771" s="531" t="str">
        <f t="shared" si="105"/>
        <v/>
      </c>
      <c r="DV771" s="531" t="str">
        <f t="shared" si="106"/>
        <v/>
      </c>
      <c r="DW771" s="531" t="str">
        <f t="shared" si="107"/>
        <v/>
      </c>
      <c r="DX771" s="531" t="str">
        <f t="shared" si="108"/>
        <v/>
      </c>
      <c r="DY771" s="531" t="str">
        <f t="shared" si="109"/>
        <v/>
      </c>
      <c r="DZ771" s="531" t="str">
        <f t="shared" si="110"/>
        <v/>
      </c>
      <c r="EA771" s="531" t="str">
        <f t="shared" si="111"/>
        <v/>
      </c>
      <c r="EB771" s="531" t="str">
        <f t="shared" si="112"/>
        <v/>
      </c>
      <c r="EC771" s="531" t="str">
        <f t="shared" si="113"/>
        <v/>
      </c>
      <c r="ED771" s="531" t="str">
        <f t="shared" si="114"/>
        <v/>
      </c>
      <c r="EE771" s="531" t="str">
        <f t="shared" si="115"/>
        <v/>
      </c>
      <c r="EF771" s="531" t="str">
        <f t="shared" si="116"/>
        <v/>
      </c>
      <c r="EG771" s="531" t="str">
        <f t="shared" si="117"/>
        <v/>
      </c>
      <c r="EH771" s="531" t="str">
        <f t="shared" si="118"/>
        <v/>
      </c>
      <c r="EI771" s="531" t="str">
        <f t="shared" si="119"/>
        <v/>
      </c>
      <c r="EJ771" s="531" t="str">
        <f t="shared" si="120"/>
        <v/>
      </c>
      <c r="EK771" s="531" t="str">
        <f t="shared" si="121"/>
        <v/>
      </c>
      <c r="EL771" s="531" t="str">
        <f t="shared" si="122"/>
        <v/>
      </c>
      <c r="EM771" s="531" t="str">
        <f t="shared" si="123"/>
        <v/>
      </c>
      <c r="EN771" s="531" t="str">
        <f t="shared" si="124"/>
        <v/>
      </c>
      <c r="EO771" s="531" t="str">
        <f t="shared" si="125"/>
        <v/>
      </c>
      <c r="EP771" s="531" t="str">
        <f t="shared" si="126"/>
        <v/>
      </c>
      <c r="EQ771" s="531" t="str">
        <f t="shared" si="127"/>
        <v/>
      </c>
      <c r="ER771" s="531" t="str">
        <f t="shared" si="128"/>
        <v/>
      </c>
      <c r="ES771" s="531" t="str">
        <f t="shared" si="129"/>
        <v/>
      </c>
      <c r="ET771" s="531" t="str">
        <f t="shared" si="130"/>
        <v/>
      </c>
      <c r="EU771" s="531" t="str">
        <f t="shared" si="131"/>
        <v/>
      </c>
      <c r="EV771" s="531" t="str">
        <f t="shared" si="132"/>
        <v/>
      </c>
      <c r="EW771" s="1554" t="str">
        <f t="shared" si="133"/>
        <v/>
      </c>
      <c r="EX771" s="1554" t="str">
        <f t="shared" si="134"/>
        <v/>
      </c>
      <c r="EY771" s="1554" t="str">
        <f t="shared" si="135"/>
        <v/>
      </c>
      <c r="EZ771" s="1554" t="str">
        <f t="shared" si="136"/>
        <v/>
      </c>
      <c r="FA771" s="1554" t="str">
        <f t="shared" si="137"/>
        <v/>
      </c>
      <c r="FB771" s="1554" t="str">
        <f t="shared" si="138"/>
        <v/>
      </c>
      <c r="FC771" s="1554" t="str">
        <f t="shared" si="139"/>
        <v/>
      </c>
      <c r="FD771" s="1554" t="str">
        <f t="shared" si="140"/>
        <v/>
      </c>
      <c r="FE771" s="1554" t="str">
        <f t="shared" si="141"/>
        <v/>
      </c>
      <c r="FF771" s="1554" t="str">
        <f t="shared" si="142"/>
        <v/>
      </c>
      <c r="FG771" s="1554" t="str">
        <f t="shared" si="143"/>
        <v/>
      </c>
      <c r="FH771" s="1554" t="str">
        <f t="shared" si="144"/>
        <v/>
      </c>
      <c r="FI771" s="1554" t="str">
        <f t="shared" si="145"/>
        <v/>
      </c>
      <c r="FJ771" s="1554" t="str">
        <f t="shared" si="146"/>
        <v/>
      </c>
      <c r="FK771" s="1554" t="str">
        <f t="shared" si="147"/>
        <v/>
      </c>
      <c r="FL771" s="1554" t="str">
        <f t="shared" si="148"/>
        <v/>
      </c>
      <c r="FM771" s="1554" t="str">
        <f t="shared" si="149"/>
        <v/>
      </c>
      <c r="FN771" s="1554" t="str">
        <f t="shared" si="150"/>
        <v/>
      </c>
      <c r="FO771" s="1554" t="str">
        <f t="shared" si="151"/>
        <v/>
      </c>
      <c r="FP771" s="1554" t="str">
        <f t="shared" si="152"/>
        <v/>
      </c>
      <c r="FQ771" s="1554" t="str">
        <f t="shared" si="153"/>
        <v/>
      </c>
      <c r="FR771" s="1554" t="str">
        <f t="shared" si="154"/>
        <v/>
      </c>
      <c r="FS771" s="1554" t="str">
        <f t="shared" si="155"/>
        <v/>
      </c>
      <c r="FT771" s="1554" t="str">
        <f t="shared" si="156"/>
        <v/>
      </c>
      <c r="FU771" s="1554" t="str">
        <f t="shared" si="157"/>
        <v/>
      </c>
      <c r="FV771" s="1554" t="str">
        <f t="shared" si="158"/>
        <v/>
      </c>
      <c r="FW771" s="1554" t="str">
        <f t="shared" si="159"/>
        <v/>
      </c>
      <c r="FX771" s="1554" t="str">
        <f t="shared" si="160"/>
        <v/>
      </c>
      <c r="FY771" s="1554" t="str">
        <f t="shared" si="161"/>
        <v/>
      </c>
      <c r="FZ771" s="1554" t="str">
        <f t="shared" si="162"/>
        <v/>
      </c>
      <c r="GA771" s="1554" t="str">
        <f t="shared" si="163"/>
        <v/>
      </c>
      <c r="GB771" s="1554" t="str">
        <f t="shared" si="164"/>
        <v/>
      </c>
      <c r="GC771" s="1554" t="str">
        <f t="shared" si="165"/>
        <v/>
      </c>
      <c r="GD771" s="1554" t="str">
        <f t="shared" si="166"/>
        <v/>
      </c>
      <c r="GE771" s="1554" t="str">
        <f t="shared" si="167"/>
        <v/>
      </c>
      <c r="GF771" s="1554" t="str">
        <f t="shared" si="168"/>
        <v/>
      </c>
      <c r="GG771" s="1554" t="str">
        <f t="shared" si="169"/>
        <v/>
      </c>
      <c r="GH771" s="1554" t="str">
        <f t="shared" si="170"/>
        <v/>
      </c>
      <c r="GI771" s="1554" t="str">
        <f t="shared" si="171"/>
        <v/>
      </c>
      <c r="GJ771" s="1554" t="str">
        <f t="shared" si="172"/>
        <v/>
      </c>
      <c r="GK771" s="1554" t="str">
        <f t="shared" si="173"/>
        <v/>
      </c>
      <c r="GL771" s="1554" t="str">
        <f t="shared" si="174"/>
        <v/>
      </c>
      <c r="GM771" s="1554" t="str">
        <f t="shared" si="175"/>
        <v/>
      </c>
      <c r="GN771" s="1554" t="str">
        <f t="shared" si="176"/>
        <v/>
      </c>
      <c r="GO771" s="1554" t="str">
        <f t="shared" si="177"/>
        <v/>
      </c>
      <c r="GP771" s="1554" t="str">
        <f t="shared" si="178"/>
        <v/>
      </c>
      <c r="GQ771" s="1554" t="str">
        <f t="shared" si="179"/>
        <v/>
      </c>
      <c r="GR771" s="1554" t="str">
        <f t="shared" si="180"/>
        <v/>
      </c>
      <c r="GS771" s="1554" t="str">
        <f t="shared" si="181"/>
        <v/>
      </c>
      <c r="GT771" s="1554" t="str">
        <f t="shared" si="182"/>
        <v/>
      </c>
      <c r="GU771" s="1554" t="str">
        <f t="shared" si="183"/>
        <v/>
      </c>
      <c r="GV771" s="1554" t="str">
        <f t="shared" si="184"/>
        <v/>
      </c>
      <c r="GW771" s="1554" t="str">
        <f t="shared" si="185"/>
        <v/>
      </c>
      <c r="GX771" s="1554" t="str">
        <f t="shared" si="186"/>
        <v/>
      </c>
      <c r="GY771" s="1554" t="str">
        <f t="shared" si="187"/>
        <v/>
      </c>
      <c r="GZ771" s="1554" t="str">
        <f t="shared" si="188"/>
        <v/>
      </c>
      <c r="HA771" s="1554" t="str">
        <f t="shared" si="189"/>
        <v/>
      </c>
      <c r="HB771" s="1554" t="str">
        <f t="shared" si="190"/>
        <v/>
      </c>
      <c r="HC771" s="1554" t="str">
        <f t="shared" si="191"/>
        <v/>
      </c>
      <c r="HD771" s="1554" t="str">
        <f t="shared" si="192"/>
        <v/>
      </c>
      <c r="HE771" s="1554" t="str">
        <f t="shared" si="193"/>
        <v/>
      </c>
      <c r="HF771" s="1554" t="str">
        <f t="shared" si="194"/>
        <v/>
      </c>
      <c r="HG771" s="1554" t="str">
        <f t="shared" si="195"/>
        <v/>
      </c>
      <c r="HH771" s="1554" t="str">
        <f t="shared" si="196"/>
        <v/>
      </c>
      <c r="HI771" s="1554" t="str">
        <f t="shared" si="197"/>
        <v/>
      </c>
      <c r="HJ771" s="1554" t="str">
        <f t="shared" si="198"/>
        <v/>
      </c>
      <c r="HK771" s="1554" t="str">
        <f t="shared" si="199"/>
        <v/>
      </c>
      <c r="HL771" s="1554" t="str">
        <f t="shared" si="200"/>
        <v/>
      </c>
      <c r="HM771" s="1554" t="str">
        <f t="shared" si="201"/>
        <v/>
      </c>
      <c r="HN771" s="1554" t="str">
        <f t="shared" si="202"/>
        <v/>
      </c>
      <c r="HO771" s="1554" t="str">
        <f t="shared" si="203"/>
        <v/>
      </c>
      <c r="HP771" s="1554" t="str">
        <f t="shared" si="204"/>
        <v/>
      </c>
      <c r="HQ771" s="1554" t="str">
        <f t="shared" si="205"/>
        <v/>
      </c>
      <c r="HR771" s="1554" t="str">
        <f t="shared" si="206"/>
        <v/>
      </c>
      <c r="HS771" s="1554" t="str">
        <f t="shared" si="207"/>
        <v/>
      </c>
      <c r="HT771" s="1554" t="str">
        <f t="shared" si="208"/>
        <v/>
      </c>
      <c r="HU771" s="1554" t="str">
        <f t="shared" si="209"/>
        <v/>
      </c>
      <c r="HV771" s="1554" t="str">
        <f t="shared" si="210"/>
        <v/>
      </c>
      <c r="HW771" s="1554" t="str">
        <f t="shared" si="211"/>
        <v/>
      </c>
      <c r="HX771" s="1554" t="str">
        <f t="shared" si="212"/>
        <v/>
      </c>
      <c r="HY771" s="1554" t="str">
        <f t="shared" si="213"/>
        <v/>
      </c>
      <c r="HZ771" s="1554" t="str">
        <f t="shared" si="214"/>
        <v/>
      </c>
      <c r="IA771" s="1554" t="str">
        <f t="shared" si="215"/>
        <v/>
      </c>
      <c r="IB771" s="1554" t="str">
        <f t="shared" si="216"/>
        <v/>
      </c>
      <c r="IC771" s="1554" t="str">
        <f t="shared" si="217"/>
        <v/>
      </c>
      <c r="ID771" s="31" t="str">
        <f t="shared" si="218"/>
        <v/>
      </c>
      <c r="IE771" s="31" t="str">
        <f t="shared" si="219"/>
        <v/>
      </c>
      <c r="IF771" s="31" t="str">
        <f t="shared" si="220"/>
        <v/>
      </c>
      <c r="IG771" s="31" t="str">
        <f t="shared" si="221"/>
        <v/>
      </c>
      <c r="IH771" s="31" t="str">
        <f t="shared" si="222"/>
        <v/>
      </c>
      <c r="II771" s="531" t="str">
        <f t="shared" si="223"/>
        <v/>
      </c>
      <c r="IJ771" s="531" t="str">
        <f t="shared" si="224"/>
        <v/>
      </c>
      <c r="IK771" s="531" t="str">
        <f t="shared" si="225"/>
        <v/>
      </c>
      <c r="IL771" s="531" t="str">
        <f t="shared" si="226"/>
        <v/>
      </c>
      <c r="IM771" s="531" t="str">
        <f t="shared" si="227"/>
        <v/>
      </c>
      <c r="IN771" s="531" t="str">
        <f t="shared" si="228"/>
        <v/>
      </c>
      <c r="IO771" s="531" t="str">
        <f t="shared" si="229"/>
        <v/>
      </c>
      <c r="IP771" s="531" t="str">
        <f t="shared" si="230"/>
        <v/>
      </c>
      <c r="IQ771" s="531" t="str">
        <f t="shared" si="231"/>
        <v/>
      </c>
      <c r="IR771" s="531" t="str">
        <f t="shared" si="232"/>
        <v/>
      </c>
      <c r="IS771" s="531" t="str">
        <f t="shared" si="233"/>
        <v/>
      </c>
      <c r="IT771" s="531" t="str">
        <f t="shared" si="234"/>
        <v/>
      </c>
      <c r="IU771" s="531" t="str">
        <f t="shared" si="235"/>
        <v/>
      </c>
      <c r="IV771" s="531" t="str">
        <f t="shared" si="236"/>
        <v/>
      </c>
      <c r="IW771" s="531" t="str">
        <f t="shared" si="237"/>
        <v/>
      </c>
      <c r="IX771" s="531" t="str">
        <f t="shared" si="238"/>
        <v/>
      </c>
      <c r="IY771" s="531" t="str">
        <f t="shared" si="239"/>
        <v/>
      </c>
      <c r="IZ771" s="531" t="str">
        <f t="shared" si="240"/>
        <v/>
      </c>
      <c r="JA771" s="531" t="str">
        <f t="shared" si="241"/>
        <v/>
      </c>
      <c r="JB771" s="531" t="str">
        <f t="shared" si="242"/>
        <v/>
      </c>
      <c r="JC771" s="615">
        <f t="shared" si="243"/>
        <v>0</v>
      </c>
      <c r="JD771" s="615">
        <f t="shared" si="244"/>
        <v>0</v>
      </c>
      <c r="JE771" s="615">
        <f t="shared" si="245"/>
        <v>0</v>
      </c>
      <c r="JF771" s="615">
        <f t="shared" si="246"/>
        <v>0</v>
      </c>
      <c r="JG771" s="615">
        <f t="shared" si="247"/>
        <v>0</v>
      </c>
      <c r="JH771" s="615">
        <f t="shared" si="248"/>
        <v>0</v>
      </c>
      <c r="JI771" s="615">
        <f t="shared" si="249"/>
        <v>0</v>
      </c>
      <c r="JJ771" s="615">
        <f t="shared" si="250"/>
        <v>0</v>
      </c>
      <c r="JK771" s="615">
        <f t="shared" si="251"/>
        <v>0</v>
      </c>
      <c r="JL771" s="615">
        <f t="shared" si="252"/>
        <v>0</v>
      </c>
      <c r="JM771" s="615">
        <f t="shared" si="253"/>
        <v>0</v>
      </c>
      <c r="JN771" s="615">
        <f t="shared" si="254"/>
        <v>0</v>
      </c>
      <c r="JO771" s="615">
        <f t="shared" si="255"/>
        <v>0</v>
      </c>
      <c r="JP771" s="615">
        <f t="shared" si="256"/>
        <v>0</v>
      </c>
      <c r="JQ771" s="615">
        <f t="shared" si="257"/>
        <v>0</v>
      </c>
    </row>
    <row r="772" spans="1:277" ht="12" customHeight="1">
      <c r="A772" s="1190" t="str">
        <f t="shared" si="0"/>
        <v/>
      </c>
      <c r="B772" s="1545" t="str">
        <f>'Part VI-Revenues &amp; Expenses'!B29</f>
        <v>&lt;&lt;Select&gt;&gt;</v>
      </c>
      <c r="C772" s="1546">
        <f>'Part VI-Revenues &amp; Expenses'!C29</f>
        <v>0</v>
      </c>
      <c r="D772" s="1547">
        <f>'Part VI-Revenues &amp; Expenses'!D29</f>
        <v>0</v>
      </c>
      <c r="E772" s="1548">
        <f>'Part VI-Revenues &amp; Expenses'!E29</f>
        <v>0</v>
      </c>
      <c r="F772" s="1548">
        <f>'Part VI-Revenues &amp; Expenses'!F29</f>
        <v>0</v>
      </c>
      <c r="G772" s="1548">
        <f>'Part VI-Revenues &amp; Expenses'!G29</f>
        <v>0</v>
      </c>
      <c r="H772" s="1548">
        <f>'Part VI-Revenues &amp; Expenses'!H29</f>
        <v>0</v>
      </c>
      <c r="I772" s="1548">
        <f>'Part VI-Revenues &amp; Expenses'!I29</f>
        <v>0</v>
      </c>
      <c r="J772" s="1549">
        <f>'Part VI-Revenues &amp; Expenses'!J29</f>
        <v>0</v>
      </c>
      <c r="K772" s="1550">
        <f t="shared" si="1"/>
        <v>0</v>
      </c>
      <c r="L772" s="1550">
        <f t="shared" si="2"/>
        <v>0</v>
      </c>
      <c r="M772" s="1551">
        <f>'Part VI-Revenues &amp; Expenses'!M29</f>
        <v>0</v>
      </c>
      <c r="N772" s="1551">
        <f>'Part VI-Revenues &amp; Expenses'!N29</f>
        <v>0</v>
      </c>
      <c r="O772" s="1551">
        <f>'Part VI-Revenues &amp; Expenses'!O29</f>
        <v>0</v>
      </c>
      <c r="P772" s="1406">
        <f>'Part VI-Revenues &amp; Expenses'!P29</f>
        <v>0</v>
      </c>
      <c r="Q772" s="1552" t="str">
        <f>'Part VI-Revenues &amp; Expenses'!Q29</f>
        <v/>
      </c>
      <c r="R772" s="1553" t="str">
        <f>'Part VI-Revenues &amp; Expenses'!R29</f>
        <v/>
      </c>
      <c r="S772" s="1552">
        <f>'Part VI-Revenues &amp; Expenses'!S29</f>
        <v>0</v>
      </c>
      <c r="T772" s="1553">
        <f>'Part VI-Revenues &amp; Expenses'!T29</f>
        <v>0</v>
      </c>
      <c r="U772" s="1477"/>
      <c r="V772" s="1477"/>
      <c r="W772" s="531" t="str">
        <f t="shared" si="3"/>
        <v/>
      </c>
      <c r="X772" s="531" t="str">
        <f t="shared" si="4"/>
        <v/>
      </c>
      <c r="Y772" s="531" t="str">
        <f t="shared" si="5"/>
        <v/>
      </c>
      <c r="Z772" s="531" t="str">
        <f t="shared" si="6"/>
        <v/>
      </c>
      <c r="AA772" s="531" t="str">
        <f t="shared" si="7"/>
        <v/>
      </c>
      <c r="AB772" s="531" t="str">
        <f t="shared" si="8"/>
        <v/>
      </c>
      <c r="AC772" s="531" t="str">
        <f t="shared" si="9"/>
        <v/>
      </c>
      <c r="AD772" s="531" t="str">
        <f t="shared" si="10"/>
        <v/>
      </c>
      <c r="AE772" s="531" t="str">
        <f t="shared" si="11"/>
        <v/>
      </c>
      <c r="AF772" s="531" t="str">
        <f t="shared" si="12"/>
        <v/>
      </c>
      <c r="AG772" s="531" t="str">
        <f t="shared" si="13"/>
        <v/>
      </c>
      <c r="AH772" s="531" t="str">
        <f t="shared" si="14"/>
        <v/>
      </c>
      <c r="AI772" s="531" t="str">
        <f t="shared" si="15"/>
        <v/>
      </c>
      <c r="AJ772" s="531" t="str">
        <f t="shared" si="16"/>
        <v/>
      </c>
      <c r="AK772" s="531" t="str">
        <f t="shared" si="17"/>
        <v/>
      </c>
      <c r="AL772" s="531" t="str">
        <f t="shared" si="18"/>
        <v/>
      </c>
      <c r="AM772" s="531" t="str">
        <f t="shared" si="19"/>
        <v/>
      </c>
      <c r="AN772" s="531" t="str">
        <f t="shared" si="20"/>
        <v/>
      </c>
      <c r="AO772" s="531" t="str">
        <f t="shared" si="21"/>
        <v/>
      </c>
      <c r="AP772" s="531" t="str">
        <f t="shared" si="22"/>
        <v/>
      </c>
      <c r="AQ772" s="531" t="str">
        <f t="shared" si="23"/>
        <v/>
      </c>
      <c r="AR772" s="531" t="str">
        <f t="shared" si="24"/>
        <v/>
      </c>
      <c r="AS772" s="531" t="str">
        <f t="shared" si="25"/>
        <v/>
      </c>
      <c r="AT772" s="531" t="str">
        <f t="shared" si="26"/>
        <v/>
      </c>
      <c r="AU772" s="531" t="str">
        <f t="shared" si="27"/>
        <v/>
      </c>
      <c r="AV772" s="531" t="str">
        <f t="shared" si="28"/>
        <v/>
      </c>
      <c r="AW772" s="531" t="str">
        <f t="shared" si="29"/>
        <v/>
      </c>
      <c r="AX772" s="531" t="str">
        <f t="shared" si="30"/>
        <v/>
      </c>
      <c r="AY772" s="531" t="str">
        <f t="shared" si="31"/>
        <v/>
      </c>
      <c r="AZ772" s="531" t="str">
        <f t="shared" si="32"/>
        <v/>
      </c>
      <c r="BA772" s="531" t="str">
        <f t="shared" si="33"/>
        <v/>
      </c>
      <c r="BB772" s="531" t="str">
        <f t="shared" si="34"/>
        <v/>
      </c>
      <c r="BC772" s="531" t="str">
        <f t="shared" si="35"/>
        <v/>
      </c>
      <c r="BD772" s="531" t="str">
        <f t="shared" si="36"/>
        <v/>
      </c>
      <c r="BE772" s="531" t="str">
        <f t="shared" si="37"/>
        <v/>
      </c>
      <c r="BF772" s="531" t="str">
        <f t="shared" si="38"/>
        <v/>
      </c>
      <c r="BG772" s="531" t="str">
        <f t="shared" si="39"/>
        <v/>
      </c>
      <c r="BH772" s="531" t="str">
        <f t="shared" si="40"/>
        <v/>
      </c>
      <c r="BI772" s="531" t="str">
        <f t="shared" si="41"/>
        <v/>
      </c>
      <c r="BJ772" s="531" t="str">
        <f t="shared" si="42"/>
        <v/>
      </c>
      <c r="BK772" s="531" t="str">
        <f t="shared" si="43"/>
        <v/>
      </c>
      <c r="BL772" s="531" t="str">
        <f t="shared" si="44"/>
        <v/>
      </c>
      <c r="BM772" s="531" t="str">
        <f t="shared" si="45"/>
        <v/>
      </c>
      <c r="BN772" s="531" t="str">
        <f t="shared" si="46"/>
        <v/>
      </c>
      <c r="BO772" s="531" t="str">
        <f t="shared" si="47"/>
        <v/>
      </c>
      <c r="BP772" s="531" t="str">
        <f t="shared" si="48"/>
        <v/>
      </c>
      <c r="BQ772" s="531" t="str">
        <f t="shared" si="49"/>
        <v/>
      </c>
      <c r="BR772" s="531" t="str">
        <f t="shared" si="50"/>
        <v/>
      </c>
      <c r="BS772" s="531" t="str">
        <f t="shared" si="51"/>
        <v/>
      </c>
      <c r="BT772" s="531" t="str">
        <f t="shared" si="52"/>
        <v/>
      </c>
      <c r="BU772" s="531" t="str">
        <f t="shared" si="53"/>
        <v/>
      </c>
      <c r="BV772" s="531" t="str">
        <f t="shared" si="54"/>
        <v/>
      </c>
      <c r="BW772" s="531" t="str">
        <f t="shared" si="55"/>
        <v/>
      </c>
      <c r="BX772" s="531" t="str">
        <f t="shared" si="56"/>
        <v/>
      </c>
      <c r="BY772" s="531" t="str">
        <f t="shared" si="57"/>
        <v/>
      </c>
      <c r="BZ772" s="531" t="str">
        <f t="shared" si="58"/>
        <v/>
      </c>
      <c r="CA772" s="531" t="str">
        <f t="shared" si="59"/>
        <v/>
      </c>
      <c r="CB772" s="531" t="str">
        <f t="shared" si="60"/>
        <v/>
      </c>
      <c r="CC772" s="531" t="str">
        <f t="shared" si="61"/>
        <v/>
      </c>
      <c r="CD772" s="531" t="str">
        <f t="shared" si="62"/>
        <v/>
      </c>
      <c r="CE772" s="531" t="str">
        <f t="shared" si="63"/>
        <v/>
      </c>
      <c r="CF772" s="531" t="str">
        <f t="shared" si="64"/>
        <v/>
      </c>
      <c r="CG772" s="531" t="str">
        <f t="shared" si="65"/>
        <v/>
      </c>
      <c r="CH772" s="531" t="str">
        <f t="shared" si="66"/>
        <v/>
      </c>
      <c r="CI772" s="531" t="str">
        <f t="shared" si="67"/>
        <v/>
      </c>
      <c r="CJ772" s="531" t="str">
        <f t="shared" si="68"/>
        <v/>
      </c>
      <c r="CK772" s="531" t="str">
        <f t="shared" si="69"/>
        <v/>
      </c>
      <c r="CL772" s="531" t="str">
        <f t="shared" si="70"/>
        <v/>
      </c>
      <c r="CM772" s="531" t="str">
        <f t="shared" si="71"/>
        <v/>
      </c>
      <c r="CN772" s="531" t="str">
        <f t="shared" si="72"/>
        <v/>
      </c>
      <c r="CO772" s="531" t="str">
        <f t="shared" si="73"/>
        <v/>
      </c>
      <c r="CP772" s="531" t="str">
        <f t="shared" si="74"/>
        <v/>
      </c>
      <c r="CQ772" s="531" t="str">
        <f t="shared" si="75"/>
        <v/>
      </c>
      <c r="CR772" s="531" t="str">
        <f t="shared" si="76"/>
        <v/>
      </c>
      <c r="CS772" s="531" t="str">
        <f t="shared" si="77"/>
        <v/>
      </c>
      <c r="CT772" s="531" t="str">
        <f t="shared" si="78"/>
        <v/>
      </c>
      <c r="CU772" s="531" t="str">
        <f t="shared" si="79"/>
        <v/>
      </c>
      <c r="CV772" s="531" t="str">
        <f t="shared" si="80"/>
        <v/>
      </c>
      <c r="CW772" s="531" t="str">
        <f t="shared" si="81"/>
        <v/>
      </c>
      <c r="CX772" s="531" t="str">
        <f t="shared" si="82"/>
        <v/>
      </c>
      <c r="CY772" s="531" t="str">
        <f t="shared" si="83"/>
        <v/>
      </c>
      <c r="CZ772" s="531" t="str">
        <f t="shared" si="84"/>
        <v/>
      </c>
      <c r="DA772" s="531" t="str">
        <f t="shared" si="85"/>
        <v/>
      </c>
      <c r="DB772" s="531" t="str">
        <f t="shared" si="86"/>
        <v/>
      </c>
      <c r="DC772" s="531" t="str">
        <f t="shared" si="87"/>
        <v/>
      </c>
      <c r="DD772" s="531" t="str">
        <f t="shared" si="88"/>
        <v/>
      </c>
      <c r="DE772" s="531" t="str">
        <f t="shared" si="89"/>
        <v/>
      </c>
      <c r="DF772" s="531" t="str">
        <f t="shared" si="90"/>
        <v/>
      </c>
      <c r="DG772" s="531" t="str">
        <f t="shared" si="91"/>
        <v/>
      </c>
      <c r="DH772" s="531" t="str">
        <f t="shared" si="92"/>
        <v/>
      </c>
      <c r="DI772" s="531" t="str">
        <f t="shared" si="93"/>
        <v/>
      </c>
      <c r="DJ772" s="531" t="str">
        <f t="shared" si="94"/>
        <v/>
      </c>
      <c r="DK772" s="531" t="str">
        <f t="shared" si="95"/>
        <v/>
      </c>
      <c r="DL772" s="531" t="str">
        <f t="shared" si="96"/>
        <v/>
      </c>
      <c r="DM772" s="531" t="str">
        <f t="shared" si="97"/>
        <v/>
      </c>
      <c r="DN772" s="531" t="str">
        <f t="shared" si="98"/>
        <v/>
      </c>
      <c r="DO772" s="531" t="str">
        <f t="shared" si="99"/>
        <v/>
      </c>
      <c r="DP772" s="531" t="str">
        <f t="shared" si="100"/>
        <v/>
      </c>
      <c r="DQ772" s="531" t="str">
        <f t="shared" si="101"/>
        <v/>
      </c>
      <c r="DR772" s="531" t="str">
        <f t="shared" si="102"/>
        <v/>
      </c>
      <c r="DS772" s="531" t="str">
        <f t="shared" si="103"/>
        <v/>
      </c>
      <c r="DT772" s="531" t="str">
        <f t="shared" si="104"/>
        <v/>
      </c>
      <c r="DU772" s="531" t="str">
        <f t="shared" si="105"/>
        <v/>
      </c>
      <c r="DV772" s="531" t="str">
        <f t="shared" si="106"/>
        <v/>
      </c>
      <c r="DW772" s="531" t="str">
        <f t="shared" si="107"/>
        <v/>
      </c>
      <c r="DX772" s="531" t="str">
        <f t="shared" si="108"/>
        <v/>
      </c>
      <c r="DY772" s="531" t="str">
        <f t="shared" si="109"/>
        <v/>
      </c>
      <c r="DZ772" s="531" t="str">
        <f t="shared" si="110"/>
        <v/>
      </c>
      <c r="EA772" s="531" t="str">
        <f t="shared" si="111"/>
        <v/>
      </c>
      <c r="EB772" s="531" t="str">
        <f t="shared" si="112"/>
        <v/>
      </c>
      <c r="EC772" s="531" t="str">
        <f t="shared" si="113"/>
        <v/>
      </c>
      <c r="ED772" s="531" t="str">
        <f t="shared" si="114"/>
        <v/>
      </c>
      <c r="EE772" s="531" t="str">
        <f t="shared" si="115"/>
        <v/>
      </c>
      <c r="EF772" s="531" t="str">
        <f t="shared" si="116"/>
        <v/>
      </c>
      <c r="EG772" s="531" t="str">
        <f t="shared" si="117"/>
        <v/>
      </c>
      <c r="EH772" s="531" t="str">
        <f t="shared" si="118"/>
        <v/>
      </c>
      <c r="EI772" s="531" t="str">
        <f t="shared" si="119"/>
        <v/>
      </c>
      <c r="EJ772" s="531" t="str">
        <f t="shared" si="120"/>
        <v/>
      </c>
      <c r="EK772" s="531" t="str">
        <f t="shared" si="121"/>
        <v/>
      </c>
      <c r="EL772" s="531" t="str">
        <f t="shared" si="122"/>
        <v/>
      </c>
      <c r="EM772" s="531" t="str">
        <f t="shared" si="123"/>
        <v/>
      </c>
      <c r="EN772" s="531" t="str">
        <f t="shared" si="124"/>
        <v/>
      </c>
      <c r="EO772" s="531" t="str">
        <f t="shared" si="125"/>
        <v/>
      </c>
      <c r="EP772" s="531" t="str">
        <f t="shared" si="126"/>
        <v/>
      </c>
      <c r="EQ772" s="531" t="str">
        <f t="shared" si="127"/>
        <v/>
      </c>
      <c r="ER772" s="531" t="str">
        <f t="shared" si="128"/>
        <v/>
      </c>
      <c r="ES772" s="531" t="str">
        <f t="shared" si="129"/>
        <v/>
      </c>
      <c r="ET772" s="531" t="str">
        <f t="shared" si="130"/>
        <v/>
      </c>
      <c r="EU772" s="531" t="str">
        <f t="shared" si="131"/>
        <v/>
      </c>
      <c r="EV772" s="531" t="str">
        <f t="shared" si="132"/>
        <v/>
      </c>
      <c r="EW772" s="1554" t="str">
        <f t="shared" si="133"/>
        <v/>
      </c>
      <c r="EX772" s="1554" t="str">
        <f t="shared" si="134"/>
        <v/>
      </c>
      <c r="EY772" s="1554" t="str">
        <f t="shared" si="135"/>
        <v/>
      </c>
      <c r="EZ772" s="1554" t="str">
        <f t="shared" si="136"/>
        <v/>
      </c>
      <c r="FA772" s="1554" t="str">
        <f t="shared" si="137"/>
        <v/>
      </c>
      <c r="FB772" s="1554" t="str">
        <f t="shared" si="138"/>
        <v/>
      </c>
      <c r="FC772" s="1554" t="str">
        <f t="shared" si="139"/>
        <v/>
      </c>
      <c r="FD772" s="1554" t="str">
        <f t="shared" si="140"/>
        <v/>
      </c>
      <c r="FE772" s="1554" t="str">
        <f t="shared" si="141"/>
        <v/>
      </c>
      <c r="FF772" s="1554" t="str">
        <f t="shared" si="142"/>
        <v/>
      </c>
      <c r="FG772" s="1554" t="str">
        <f t="shared" si="143"/>
        <v/>
      </c>
      <c r="FH772" s="1554" t="str">
        <f t="shared" si="144"/>
        <v/>
      </c>
      <c r="FI772" s="1554" t="str">
        <f t="shared" si="145"/>
        <v/>
      </c>
      <c r="FJ772" s="1554" t="str">
        <f t="shared" si="146"/>
        <v/>
      </c>
      <c r="FK772" s="1554" t="str">
        <f t="shared" si="147"/>
        <v/>
      </c>
      <c r="FL772" s="1554" t="str">
        <f t="shared" si="148"/>
        <v/>
      </c>
      <c r="FM772" s="1554" t="str">
        <f t="shared" si="149"/>
        <v/>
      </c>
      <c r="FN772" s="1554" t="str">
        <f t="shared" si="150"/>
        <v/>
      </c>
      <c r="FO772" s="1554" t="str">
        <f t="shared" si="151"/>
        <v/>
      </c>
      <c r="FP772" s="1554" t="str">
        <f t="shared" si="152"/>
        <v/>
      </c>
      <c r="FQ772" s="1554" t="str">
        <f t="shared" si="153"/>
        <v/>
      </c>
      <c r="FR772" s="1554" t="str">
        <f t="shared" si="154"/>
        <v/>
      </c>
      <c r="FS772" s="1554" t="str">
        <f t="shared" si="155"/>
        <v/>
      </c>
      <c r="FT772" s="1554" t="str">
        <f t="shared" si="156"/>
        <v/>
      </c>
      <c r="FU772" s="1554" t="str">
        <f t="shared" si="157"/>
        <v/>
      </c>
      <c r="FV772" s="1554" t="str">
        <f t="shared" si="158"/>
        <v/>
      </c>
      <c r="FW772" s="1554" t="str">
        <f t="shared" si="159"/>
        <v/>
      </c>
      <c r="FX772" s="1554" t="str">
        <f t="shared" si="160"/>
        <v/>
      </c>
      <c r="FY772" s="1554" t="str">
        <f t="shared" si="161"/>
        <v/>
      </c>
      <c r="FZ772" s="1554" t="str">
        <f t="shared" si="162"/>
        <v/>
      </c>
      <c r="GA772" s="1554" t="str">
        <f t="shared" si="163"/>
        <v/>
      </c>
      <c r="GB772" s="1554" t="str">
        <f t="shared" si="164"/>
        <v/>
      </c>
      <c r="GC772" s="1554" t="str">
        <f t="shared" si="165"/>
        <v/>
      </c>
      <c r="GD772" s="1554" t="str">
        <f t="shared" si="166"/>
        <v/>
      </c>
      <c r="GE772" s="1554" t="str">
        <f t="shared" si="167"/>
        <v/>
      </c>
      <c r="GF772" s="1554" t="str">
        <f t="shared" si="168"/>
        <v/>
      </c>
      <c r="GG772" s="1554" t="str">
        <f t="shared" si="169"/>
        <v/>
      </c>
      <c r="GH772" s="1554" t="str">
        <f t="shared" si="170"/>
        <v/>
      </c>
      <c r="GI772" s="1554" t="str">
        <f t="shared" si="171"/>
        <v/>
      </c>
      <c r="GJ772" s="1554" t="str">
        <f t="shared" si="172"/>
        <v/>
      </c>
      <c r="GK772" s="1554" t="str">
        <f t="shared" si="173"/>
        <v/>
      </c>
      <c r="GL772" s="1554" t="str">
        <f t="shared" si="174"/>
        <v/>
      </c>
      <c r="GM772" s="1554" t="str">
        <f t="shared" si="175"/>
        <v/>
      </c>
      <c r="GN772" s="1554" t="str">
        <f t="shared" si="176"/>
        <v/>
      </c>
      <c r="GO772" s="1554" t="str">
        <f t="shared" si="177"/>
        <v/>
      </c>
      <c r="GP772" s="1554" t="str">
        <f t="shared" si="178"/>
        <v/>
      </c>
      <c r="GQ772" s="1554" t="str">
        <f t="shared" si="179"/>
        <v/>
      </c>
      <c r="GR772" s="1554" t="str">
        <f t="shared" si="180"/>
        <v/>
      </c>
      <c r="GS772" s="1554" t="str">
        <f t="shared" si="181"/>
        <v/>
      </c>
      <c r="GT772" s="1554" t="str">
        <f t="shared" si="182"/>
        <v/>
      </c>
      <c r="GU772" s="1554" t="str">
        <f t="shared" si="183"/>
        <v/>
      </c>
      <c r="GV772" s="1554" t="str">
        <f t="shared" si="184"/>
        <v/>
      </c>
      <c r="GW772" s="1554" t="str">
        <f t="shared" si="185"/>
        <v/>
      </c>
      <c r="GX772" s="1554" t="str">
        <f t="shared" si="186"/>
        <v/>
      </c>
      <c r="GY772" s="1554" t="str">
        <f t="shared" si="187"/>
        <v/>
      </c>
      <c r="GZ772" s="1554" t="str">
        <f t="shared" si="188"/>
        <v/>
      </c>
      <c r="HA772" s="1554" t="str">
        <f t="shared" si="189"/>
        <v/>
      </c>
      <c r="HB772" s="1554" t="str">
        <f t="shared" si="190"/>
        <v/>
      </c>
      <c r="HC772" s="1554" t="str">
        <f t="shared" si="191"/>
        <v/>
      </c>
      <c r="HD772" s="1554" t="str">
        <f t="shared" si="192"/>
        <v/>
      </c>
      <c r="HE772" s="1554" t="str">
        <f t="shared" si="193"/>
        <v/>
      </c>
      <c r="HF772" s="1554" t="str">
        <f t="shared" si="194"/>
        <v/>
      </c>
      <c r="HG772" s="1554" t="str">
        <f t="shared" si="195"/>
        <v/>
      </c>
      <c r="HH772" s="1554" t="str">
        <f t="shared" si="196"/>
        <v/>
      </c>
      <c r="HI772" s="1554" t="str">
        <f t="shared" si="197"/>
        <v/>
      </c>
      <c r="HJ772" s="1554" t="str">
        <f t="shared" si="198"/>
        <v/>
      </c>
      <c r="HK772" s="1554" t="str">
        <f t="shared" si="199"/>
        <v/>
      </c>
      <c r="HL772" s="1554" t="str">
        <f t="shared" si="200"/>
        <v/>
      </c>
      <c r="HM772" s="1554" t="str">
        <f t="shared" si="201"/>
        <v/>
      </c>
      <c r="HN772" s="1554" t="str">
        <f t="shared" si="202"/>
        <v/>
      </c>
      <c r="HO772" s="1554" t="str">
        <f t="shared" si="203"/>
        <v/>
      </c>
      <c r="HP772" s="1554" t="str">
        <f t="shared" si="204"/>
        <v/>
      </c>
      <c r="HQ772" s="1554" t="str">
        <f t="shared" si="205"/>
        <v/>
      </c>
      <c r="HR772" s="1554" t="str">
        <f t="shared" si="206"/>
        <v/>
      </c>
      <c r="HS772" s="1554" t="str">
        <f t="shared" si="207"/>
        <v/>
      </c>
      <c r="HT772" s="1554" t="str">
        <f t="shared" si="208"/>
        <v/>
      </c>
      <c r="HU772" s="1554" t="str">
        <f t="shared" si="209"/>
        <v/>
      </c>
      <c r="HV772" s="1554" t="str">
        <f t="shared" si="210"/>
        <v/>
      </c>
      <c r="HW772" s="1554" t="str">
        <f t="shared" si="211"/>
        <v/>
      </c>
      <c r="HX772" s="1554" t="str">
        <f t="shared" si="212"/>
        <v/>
      </c>
      <c r="HY772" s="1554" t="str">
        <f t="shared" si="213"/>
        <v/>
      </c>
      <c r="HZ772" s="1554" t="str">
        <f t="shared" si="214"/>
        <v/>
      </c>
      <c r="IA772" s="1554" t="str">
        <f t="shared" si="215"/>
        <v/>
      </c>
      <c r="IB772" s="1554" t="str">
        <f t="shared" si="216"/>
        <v/>
      </c>
      <c r="IC772" s="1554" t="str">
        <f t="shared" si="217"/>
        <v/>
      </c>
      <c r="ID772" s="31" t="str">
        <f t="shared" si="218"/>
        <v/>
      </c>
      <c r="IE772" s="31" t="str">
        <f t="shared" si="219"/>
        <v/>
      </c>
      <c r="IF772" s="31" t="str">
        <f t="shared" si="220"/>
        <v/>
      </c>
      <c r="IG772" s="31" t="str">
        <f t="shared" si="221"/>
        <v/>
      </c>
      <c r="IH772" s="31" t="str">
        <f t="shared" si="222"/>
        <v/>
      </c>
      <c r="II772" s="531" t="str">
        <f t="shared" si="223"/>
        <v/>
      </c>
      <c r="IJ772" s="531" t="str">
        <f t="shared" si="224"/>
        <v/>
      </c>
      <c r="IK772" s="531" t="str">
        <f t="shared" si="225"/>
        <v/>
      </c>
      <c r="IL772" s="531" t="str">
        <f t="shared" si="226"/>
        <v/>
      </c>
      <c r="IM772" s="531" t="str">
        <f t="shared" si="227"/>
        <v/>
      </c>
      <c r="IN772" s="531" t="str">
        <f t="shared" si="228"/>
        <v/>
      </c>
      <c r="IO772" s="531" t="str">
        <f t="shared" si="229"/>
        <v/>
      </c>
      <c r="IP772" s="531" t="str">
        <f t="shared" si="230"/>
        <v/>
      </c>
      <c r="IQ772" s="531" t="str">
        <f t="shared" si="231"/>
        <v/>
      </c>
      <c r="IR772" s="531" t="str">
        <f t="shared" si="232"/>
        <v/>
      </c>
      <c r="IS772" s="531" t="str">
        <f t="shared" si="233"/>
        <v/>
      </c>
      <c r="IT772" s="531" t="str">
        <f t="shared" si="234"/>
        <v/>
      </c>
      <c r="IU772" s="531" t="str">
        <f t="shared" si="235"/>
        <v/>
      </c>
      <c r="IV772" s="531" t="str">
        <f t="shared" si="236"/>
        <v/>
      </c>
      <c r="IW772" s="531" t="str">
        <f t="shared" si="237"/>
        <v/>
      </c>
      <c r="IX772" s="531" t="str">
        <f t="shared" si="238"/>
        <v/>
      </c>
      <c r="IY772" s="531" t="str">
        <f t="shared" si="239"/>
        <v/>
      </c>
      <c r="IZ772" s="531" t="str">
        <f t="shared" si="240"/>
        <v/>
      </c>
      <c r="JA772" s="531" t="str">
        <f t="shared" si="241"/>
        <v/>
      </c>
      <c r="JB772" s="531" t="str">
        <f t="shared" si="242"/>
        <v/>
      </c>
      <c r="JC772" s="615">
        <f t="shared" si="243"/>
        <v>0</v>
      </c>
      <c r="JD772" s="615">
        <f t="shared" si="244"/>
        <v>0</v>
      </c>
      <c r="JE772" s="615">
        <f t="shared" si="245"/>
        <v>0</v>
      </c>
      <c r="JF772" s="615">
        <f t="shared" si="246"/>
        <v>0</v>
      </c>
      <c r="JG772" s="615">
        <f t="shared" si="247"/>
        <v>0</v>
      </c>
      <c r="JH772" s="615">
        <f t="shared" si="248"/>
        <v>0</v>
      </c>
      <c r="JI772" s="615">
        <f t="shared" si="249"/>
        <v>0</v>
      </c>
      <c r="JJ772" s="615">
        <f t="shared" si="250"/>
        <v>0</v>
      </c>
      <c r="JK772" s="615">
        <f t="shared" si="251"/>
        <v>0</v>
      </c>
      <c r="JL772" s="615">
        <f t="shared" si="252"/>
        <v>0</v>
      </c>
      <c r="JM772" s="615">
        <f t="shared" si="253"/>
        <v>0</v>
      </c>
      <c r="JN772" s="615">
        <f t="shared" si="254"/>
        <v>0</v>
      </c>
      <c r="JO772" s="615">
        <f t="shared" si="255"/>
        <v>0</v>
      </c>
      <c r="JP772" s="615">
        <f t="shared" si="256"/>
        <v>0</v>
      </c>
      <c r="JQ772" s="615">
        <f t="shared" si="257"/>
        <v>0</v>
      </c>
    </row>
    <row r="773" spans="1:277" ht="12" customHeight="1">
      <c r="A773" s="1190" t="str">
        <f t="shared" si="0"/>
        <v/>
      </c>
      <c r="B773" s="1545" t="str">
        <f>'Part VI-Revenues &amp; Expenses'!B30</f>
        <v>&lt;&lt;Select&gt;&gt;</v>
      </c>
      <c r="C773" s="1546">
        <f>'Part VI-Revenues &amp; Expenses'!C30</f>
        <v>0</v>
      </c>
      <c r="D773" s="1547">
        <f>'Part VI-Revenues &amp; Expenses'!D30</f>
        <v>0</v>
      </c>
      <c r="E773" s="1548">
        <f>'Part VI-Revenues &amp; Expenses'!E30</f>
        <v>0</v>
      </c>
      <c r="F773" s="1548">
        <f>'Part VI-Revenues &amp; Expenses'!F30</f>
        <v>0</v>
      </c>
      <c r="G773" s="1548">
        <f>'Part VI-Revenues &amp; Expenses'!G30</f>
        <v>0</v>
      </c>
      <c r="H773" s="1548">
        <f>'Part VI-Revenues &amp; Expenses'!H30</f>
        <v>0</v>
      </c>
      <c r="I773" s="1548">
        <f>'Part VI-Revenues &amp; Expenses'!I30</f>
        <v>0</v>
      </c>
      <c r="J773" s="1549">
        <f>'Part VI-Revenues &amp; Expenses'!J30</f>
        <v>0</v>
      </c>
      <c r="K773" s="1550">
        <f t="shared" si="1"/>
        <v>0</v>
      </c>
      <c r="L773" s="1550">
        <f t="shared" si="2"/>
        <v>0</v>
      </c>
      <c r="M773" s="1551">
        <f>'Part VI-Revenues &amp; Expenses'!M30</f>
        <v>0</v>
      </c>
      <c r="N773" s="1551">
        <f>'Part VI-Revenues &amp; Expenses'!N30</f>
        <v>0</v>
      </c>
      <c r="O773" s="1551">
        <f>'Part VI-Revenues &amp; Expenses'!O30</f>
        <v>0</v>
      </c>
      <c r="P773" s="1406">
        <f>'Part VI-Revenues &amp; Expenses'!P30</f>
        <v>0</v>
      </c>
      <c r="Q773" s="1552" t="str">
        <f>'Part VI-Revenues &amp; Expenses'!Q30</f>
        <v/>
      </c>
      <c r="R773" s="1553" t="str">
        <f>'Part VI-Revenues &amp; Expenses'!R30</f>
        <v/>
      </c>
      <c r="S773" s="1552">
        <f>'Part VI-Revenues &amp; Expenses'!S30</f>
        <v>0</v>
      </c>
      <c r="T773" s="1553">
        <f>'Part VI-Revenues &amp; Expenses'!T30</f>
        <v>0</v>
      </c>
      <c r="U773" s="1477"/>
      <c r="V773" s="1477"/>
      <c r="W773" s="531" t="str">
        <f t="shared" si="3"/>
        <v/>
      </c>
      <c r="X773" s="531" t="str">
        <f t="shared" si="4"/>
        <v/>
      </c>
      <c r="Y773" s="531" t="str">
        <f t="shared" si="5"/>
        <v/>
      </c>
      <c r="Z773" s="531" t="str">
        <f t="shared" si="6"/>
        <v/>
      </c>
      <c r="AA773" s="531" t="str">
        <f t="shared" si="7"/>
        <v/>
      </c>
      <c r="AB773" s="531" t="str">
        <f t="shared" si="8"/>
        <v/>
      </c>
      <c r="AC773" s="531" t="str">
        <f t="shared" si="9"/>
        <v/>
      </c>
      <c r="AD773" s="531" t="str">
        <f t="shared" si="10"/>
        <v/>
      </c>
      <c r="AE773" s="531" t="str">
        <f t="shared" si="11"/>
        <v/>
      </c>
      <c r="AF773" s="531" t="str">
        <f t="shared" si="12"/>
        <v/>
      </c>
      <c r="AG773" s="531" t="str">
        <f t="shared" si="13"/>
        <v/>
      </c>
      <c r="AH773" s="531" t="str">
        <f t="shared" si="14"/>
        <v/>
      </c>
      <c r="AI773" s="531" t="str">
        <f t="shared" si="15"/>
        <v/>
      </c>
      <c r="AJ773" s="531" t="str">
        <f t="shared" si="16"/>
        <v/>
      </c>
      <c r="AK773" s="531" t="str">
        <f t="shared" si="17"/>
        <v/>
      </c>
      <c r="AL773" s="531" t="str">
        <f t="shared" si="18"/>
        <v/>
      </c>
      <c r="AM773" s="531" t="str">
        <f t="shared" si="19"/>
        <v/>
      </c>
      <c r="AN773" s="531" t="str">
        <f t="shared" si="20"/>
        <v/>
      </c>
      <c r="AO773" s="531" t="str">
        <f t="shared" si="21"/>
        <v/>
      </c>
      <c r="AP773" s="531" t="str">
        <f t="shared" si="22"/>
        <v/>
      </c>
      <c r="AQ773" s="531" t="str">
        <f t="shared" si="23"/>
        <v/>
      </c>
      <c r="AR773" s="531" t="str">
        <f t="shared" si="24"/>
        <v/>
      </c>
      <c r="AS773" s="531" t="str">
        <f t="shared" si="25"/>
        <v/>
      </c>
      <c r="AT773" s="531" t="str">
        <f t="shared" si="26"/>
        <v/>
      </c>
      <c r="AU773" s="531" t="str">
        <f t="shared" si="27"/>
        <v/>
      </c>
      <c r="AV773" s="531" t="str">
        <f t="shared" si="28"/>
        <v/>
      </c>
      <c r="AW773" s="531" t="str">
        <f t="shared" si="29"/>
        <v/>
      </c>
      <c r="AX773" s="531" t="str">
        <f t="shared" si="30"/>
        <v/>
      </c>
      <c r="AY773" s="531" t="str">
        <f t="shared" si="31"/>
        <v/>
      </c>
      <c r="AZ773" s="531" t="str">
        <f t="shared" si="32"/>
        <v/>
      </c>
      <c r="BA773" s="531" t="str">
        <f t="shared" si="33"/>
        <v/>
      </c>
      <c r="BB773" s="531" t="str">
        <f t="shared" si="34"/>
        <v/>
      </c>
      <c r="BC773" s="531" t="str">
        <f t="shared" si="35"/>
        <v/>
      </c>
      <c r="BD773" s="531" t="str">
        <f t="shared" si="36"/>
        <v/>
      </c>
      <c r="BE773" s="531" t="str">
        <f t="shared" si="37"/>
        <v/>
      </c>
      <c r="BF773" s="531" t="str">
        <f t="shared" si="38"/>
        <v/>
      </c>
      <c r="BG773" s="531" t="str">
        <f t="shared" si="39"/>
        <v/>
      </c>
      <c r="BH773" s="531" t="str">
        <f t="shared" si="40"/>
        <v/>
      </c>
      <c r="BI773" s="531" t="str">
        <f t="shared" si="41"/>
        <v/>
      </c>
      <c r="BJ773" s="531" t="str">
        <f t="shared" si="42"/>
        <v/>
      </c>
      <c r="BK773" s="531" t="str">
        <f t="shared" si="43"/>
        <v/>
      </c>
      <c r="BL773" s="531" t="str">
        <f t="shared" si="44"/>
        <v/>
      </c>
      <c r="BM773" s="531" t="str">
        <f t="shared" si="45"/>
        <v/>
      </c>
      <c r="BN773" s="531" t="str">
        <f t="shared" si="46"/>
        <v/>
      </c>
      <c r="BO773" s="531" t="str">
        <f t="shared" si="47"/>
        <v/>
      </c>
      <c r="BP773" s="531" t="str">
        <f t="shared" si="48"/>
        <v/>
      </c>
      <c r="BQ773" s="531" t="str">
        <f t="shared" si="49"/>
        <v/>
      </c>
      <c r="BR773" s="531" t="str">
        <f t="shared" si="50"/>
        <v/>
      </c>
      <c r="BS773" s="531" t="str">
        <f t="shared" si="51"/>
        <v/>
      </c>
      <c r="BT773" s="531" t="str">
        <f t="shared" si="52"/>
        <v/>
      </c>
      <c r="BU773" s="531" t="str">
        <f t="shared" si="53"/>
        <v/>
      </c>
      <c r="BV773" s="531" t="str">
        <f t="shared" si="54"/>
        <v/>
      </c>
      <c r="BW773" s="531" t="str">
        <f t="shared" si="55"/>
        <v/>
      </c>
      <c r="BX773" s="531" t="str">
        <f t="shared" si="56"/>
        <v/>
      </c>
      <c r="BY773" s="531" t="str">
        <f t="shared" si="57"/>
        <v/>
      </c>
      <c r="BZ773" s="531" t="str">
        <f t="shared" si="58"/>
        <v/>
      </c>
      <c r="CA773" s="531" t="str">
        <f t="shared" si="59"/>
        <v/>
      </c>
      <c r="CB773" s="531" t="str">
        <f t="shared" si="60"/>
        <v/>
      </c>
      <c r="CC773" s="531" t="str">
        <f t="shared" si="61"/>
        <v/>
      </c>
      <c r="CD773" s="531" t="str">
        <f t="shared" si="62"/>
        <v/>
      </c>
      <c r="CE773" s="531" t="str">
        <f t="shared" si="63"/>
        <v/>
      </c>
      <c r="CF773" s="531" t="str">
        <f t="shared" si="64"/>
        <v/>
      </c>
      <c r="CG773" s="531" t="str">
        <f t="shared" si="65"/>
        <v/>
      </c>
      <c r="CH773" s="531" t="str">
        <f t="shared" si="66"/>
        <v/>
      </c>
      <c r="CI773" s="531" t="str">
        <f t="shared" si="67"/>
        <v/>
      </c>
      <c r="CJ773" s="531" t="str">
        <f t="shared" si="68"/>
        <v/>
      </c>
      <c r="CK773" s="531" t="str">
        <f t="shared" si="69"/>
        <v/>
      </c>
      <c r="CL773" s="531" t="str">
        <f t="shared" si="70"/>
        <v/>
      </c>
      <c r="CM773" s="531" t="str">
        <f t="shared" si="71"/>
        <v/>
      </c>
      <c r="CN773" s="531" t="str">
        <f t="shared" si="72"/>
        <v/>
      </c>
      <c r="CO773" s="531" t="str">
        <f t="shared" si="73"/>
        <v/>
      </c>
      <c r="CP773" s="531" t="str">
        <f t="shared" si="74"/>
        <v/>
      </c>
      <c r="CQ773" s="531" t="str">
        <f t="shared" si="75"/>
        <v/>
      </c>
      <c r="CR773" s="531" t="str">
        <f t="shared" si="76"/>
        <v/>
      </c>
      <c r="CS773" s="531" t="str">
        <f t="shared" si="77"/>
        <v/>
      </c>
      <c r="CT773" s="531" t="str">
        <f t="shared" si="78"/>
        <v/>
      </c>
      <c r="CU773" s="531" t="str">
        <f t="shared" si="79"/>
        <v/>
      </c>
      <c r="CV773" s="531" t="str">
        <f t="shared" si="80"/>
        <v/>
      </c>
      <c r="CW773" s="531" t="str">
        <f t="shared" si="81"/>
        <v/>
      </c>
      <c r="CX773" s="531" t="str">
        <f t="shared" si="82"/>
        <v/>
      </c>
      <c r="CY773" s="531" t="str">
        <f t="shared" si="83"/>
        <v/>
      </c>
      <c r="CZ773" s="531" t="str">
        <f t="shared" si="84"/>
        <v/>
      </c>
      <c r="DA773" s="531" t="str">
        <f t="shared" si="85"/>
        <v/>
      </c>
      <c r="DB773" s="531" t="str">
        <f t="shared" si="86"/>
        <v/>
      </c>
      <c r="DC773" s="531" t="str">
        <f t="shared" si="87"/>
        <v/>
      </c>
      <c r="DD773" s="531" t="str">
        <f t="shared" si="88"/>
        <v/>
      </c>
      <c r="DE773" s="531" t="str">
        <f t="shared" si="89"/>
        <v/>
      </c>
      <c r="DF773" s="531" t="str">
        <f t="shared" si="90"/>
        <v/>
      </c>
      <c r="DG773" s="531" t="str">
        <f t="shared" si="91"/>
        <v/>
      </c>
      <c r="DH773" s="531" t="str">
        <f t="shared" si="92"/>
        <v/>
      </c>
      <c r="DI773" s="531" t="str">
        <f t="shared" si="93"/>
        <v/>
      </c>
      <c r="DJ773" s="531" t="str">
        <f t="shared" si="94"/>
        <v/>
      </c>
      <c r="DK773" s="531" t="str">
        <f t="shared" si="95"/>
        <v/>
      </c>
      <c r="DL773" s="531" t="str">
        <f t="shared" si="96"/>
        <v/>
      </c>
      <c r="DM773" s="531" t="str">
        <f t="shared" si="97"/>
        <v/>
      </c>
      <c r="DN773" s="531" t="str">
        <f t="shared" si="98"/>
        <v/>
      </c>
      <c r="DO773" s="531" t="str">
        <f t="shared" si="99"/>
        <v/>
      </c>
      <c r="DP773" s="531" t="str">
        <f t="shared" si="100"/>
        <v/>
      </c>
      <c r="DQ773" s="531" t="str">
        <f t="shared" si="101"/>
        <v/>
      </c>
      <c r="DR773" s="531" t="str">
        <f t="shared" si="102"/>
        <v/>
      </c>
      <c r="DS773" s="531" t="str">
        <f t="shared" si="103"/>
        <v/>
      </c>
      <c r="DT773" s="531" t="str">
        <f t="shared" si="104"/>
        <v/>
      </c>
      <c r="DU773" s="531" t="str">
        <f t="shared" si="105"/>
        <v/>
      </c>
      <c r="DV773" s="531" t="str">
        <f t="shared" si="106"/>
        <v/>
      </c>
      <c r="DW773" s="531" t="str">
        <f t="shared" si="107"/>
        <v/>
      </c>
      <c r="DX773" s="531" t="str">
        <f t="shared" si="108"/>
        <v/>
      </c>
      <c r="DY773" s="531" t="str">
        <f t="shared" si="109"/>
        <v/>
      </c>
      <c r="DZ773" s="531" t="str">
        <f t="shared" si="110"/>
        <v/>
      </c>
      <c r="EA773" s="531" t="str">
        <f t="shared" si="111"/>
        <v/>
      </c>
      <c r="EB773" s="531" t="str">
        <f t="shared" si="112"/>
        <v/>
      </c>
      <c r="EC773" s="531" t="str">
        <f t="shared" si="113"/>
        <v/>
      </c>
      <c r="ED773" s="531" t="str">
        <f t="shared" si="114"/>
        <v/>
      </c>
      <c r="EE773" s="531" t="str">
        <f t="shared" si="115"/>
        <v/>
      </c>
      <c r="EF773" s="531" t="str">
        <f t="shared" si="116"/>
        <v/>
      </c>
      <c r="EG773" s="531" t="str">
        <f t="shared" si="117"/>
        <v/>
      </c>
      <c r="EH773" s="531" t="str">
        <f t="shared" si="118"/>
        <v/>
      </c>
      <c r="EI773" s="531" t="str">
        <f t="shared" si="119"/>
        <v/>
      </c>
      <c r="EJ773" s="531" t="str">
        <f t="shared" si="120"/>
        <v/>
      </c>
      <c r="EK773" s="531" t="str">
        <f t="shared" si="121"/>
        <v/>
      </c>
      <c r="EL773" s="531" t="str">
        <f t="shared" si="122"/>
        <v/>
      </c>
      <c r="EM773" s="531" t="str">
        <f t="shared" si="123"/>
        <v/>
      </c>
      <c r="EN773" s="531" t="str">
        <f t="shared" si="124"/>
        <v/>
      </c>
      <c r="EO773" s="531" t="str">
        <f t="shared" si="125"/>
        <v/>
      </c>
      <c r="EP773" s="531" t="str">
        <f t="shared" si="126"/>
        <v/>
      </c>
      <c r="EQ773" s="531" t="str">
        <f t="shared" si="127"/>
        <v/>
      </c>
      <c r="ER773" s="531" t="str">
        <f t="shared" si="128"/>
        <v/>
      </c>
      <c r="ES773" s="531" t="str">
        <f t="shared" si="129"/>
        <v/>
      </c>
      <c r="ET773" s="531" t="str">
        <f t="shared" si="130"/>
        <v/>
      </c>
      <c r="EU773" s="531" t="str">
        <f t="shared" si="131"/>
        <v/>
      </c>
      <c r="EV773" s="531" t="str">
        <f t="shared" si="132"/>
        <v/>
      </c>
      <c r="EW773" s="1554" t="str">
        <f t="shared" si="133"/>
        <v/>
      </c>
      <c r="EX773" s="1554" t="str">
        <f t="shared" si="134"/>
        <v/>
      </c>
      <c r="EY773" s="1554" t="str">
        <f t="shared" si="135"/>
        <v/>
      </c>
      <c r="EZ773" s="1554" t="str">
        <f t="shared" si="136"/>
        <v/>
      </c>
      <c r="FA773" s="1554" t="str">
        <f t="shared" si="137"/>
        <v/>
      </c>
      <c r="FB773" s="1554" t="str">
        <f t="shared" si="138"/>
        <v/>
      </c>
      <c r="FC773" s="1554" t="str">
        <f t="shared" si="139"/>
        <v/>
      </c>
      <c r="FD773" s="1554" t="str">
        <f t="shared" si="140"/>
        <v/>
      </c>
      <c r="FE773" s="1554" t="str">
        <f t="shared" si="141"/>
        <v/>
      </c>
      <c r="FF773" s="1554" t="str">
        <f t="shared" si="142"/>
        <v/>
      </c>
      <c r="FG773" s="1554" t="str">
        <f t="shared" si="143"/>
        <v/>
      </c>
      <c r="FH773" s="1554" t="str">
        <f t="shared" si="144"/>
        <v/>
      </c>
      <c r="FI773" s="1554" t="str">
        <f t="shared" si="145"/>
        <v/>
      </c>
      <c r="FJ773" s="1554" t="str">
        <f t="shared" si="146"/>
        <v/>
      </c>
      <c r="FK773" s="1554" t="str">
        <f t="shared" si="147"/>
        <v/>
      </c>
      <c r="FL773" s="1554" t="str">
        <f t="shared" si="148"/>
        <v/>
      </c>
      <c r="FM773" s="1554" t="str">
        <f t="shared" si="149"/>
        <v/>
      </c>
      <c r="FN773" s="1554" t="str">
        <f t="shared" si="150"/>
        <v/>
      </c>
      <c r="FO773" s="1554" t="str">
        <f t="shared" si="151"/>
        <v/>
      </c>
      <c r="FP773" s="1554" t="str">
        <f t="shared" si="152"/>
        <v/>
      </c>
      <c r="FQ773" s="1554" t="str">
        <f t="shared" si="153"/>
        <v/>
      </c>
      <c r="FR773" s="1554" t="str">
        <f t="shared" si="154"/>
        <v/>
      </c>
      <c r="FS773" s="1554" t="str">
        <f t="shared" si="155"/>
        <v/>
      </c>
      <c r="FT773" s="1554" t="str">
        <f t="shared" si="156"/>
        <v/>
      </c>
      <c r="FU773" s="1554" t="str">
        <f t="shared" si="157"/>
        <v/>
      </c>
      <c r="FV773" s="1554" t="str">
        <f t="shared" si="158"/>
        <v/>
      </c>
      <c r="FW773" s="1554" t="str">
        <f t="shared" si="159"/>
        <v/>
      </c>
      <c r="FX773" s="1554" t="str">
        <f t="shared" si="160"/>
        <v/>
      </c>
      <c r="FY773" s="1554" t="str">
        <f t="shared" si="161"/>
        <v/>
      </c>
      <c r="FZ773" s="1554" t="str">
        <f t="shared" si="162"/>
        <v/>
      </c>
      <c r="GA773" s="1554" t="str">
        <f t="shared" si="163"/>
        <v/>
      </c>
      <c r="GB773" s="1554" t="str">
        <f t="shared" si="164"/>
        <v/>
      </c>
      <c r="GC773" s="1554" t="str">
        <f t="shared" si="165"/>
        <v/>
      </c>
      <c r="GD773" s="1554" t="str">
        <f t="shared" si="166"/>
        <v/>
      </c>
      <c r="GE773" s="1554" t="str">
        <f t="shared" si="167"/>
        <v/>
      </c>
      <c r="GF773" s="1554" t="str">
        <f t="shared" si="168"/>
        <v/>
      </c>
      <c r="GG773" s="1554" t="str">
        <f t="shared" si="169"/>
        <v/>
      </c>
      <c r="GH773" s="1554" t="str">
        <f t="shared" si="170"/>
        <v/>
      </c>
      <c r="GI773" s="1554" t="str">
        <f t="shared" si="171"/>
        <v/>
      </c>
      <c r="GJ773" s="1554" t="str">
        <f t="shared" si="172"/>
        <v/>
      </c>
      <c r="GK773" s="1554" t="str">
        <f t="shared" si="173"/>
        <v/>
      </c>
      <c r="GL773" s="1554" t="str">
        <f t="shared" si="174"/>
        <v/>
      </c>
      <c r="GM773" s="1554" t="str">
        <f t="shared" si="175"/>
        <v/>
      </c>
      <c r="GN773" s="1554" t="str">
        <f t="shared" si="176"/>
        <v/>
      </c>
      <c r="GO773" s="1554" t="str">
        <f t="shared" si="177"/>
        <v/>
      </c>
      <c r="GP773" s="1554" t="str">
        <f t="shared" si="178"/>
        <v/>
      </c>
      <c r="GQ773" s="1554" t="str">
        <f t="shared" si="179"/>
        <v/>
      </c>
      <c r="GR773" s="1554" t="str">
        <f t="shared" si="180"/>
        <v/>
      </c>
      <c r="GS773" s="1554" t="str">
        <f t="shared" si="181"/>
        <v/>
      </c>
      <c r="GT773" s="1554" t="str">
        <f t="shared" si="182"/>
        <v/>
      </c>
      <c r="GU773" s="1554" t="str">
        <f t="shared" si="183"/>
        <v/>
      </c>
      <c r="GV773" s="1554" t="str">
        <f t="shared" si="184"/>
        <v/>
      </c>
      <c r="GW773" s="1554" t="str">
        <f t="shared" si="185"/>
        <v/>
      </c>
      <c r="GX773" s="1554" t="str">
        <f t="shared" si="186"/>
        <v/>
      </c>
      <c r="GY773" s="1554" t="str">
        <f t="shared" si="187"/>
        <v/>
      </c>
      <c r="GZ773" s="1554" t="str">
        <f t="shared" si="188"/>
        <v/>
      </c>
      <c r="HA773" s="1554" t="str">
        <f t="shared" si="189"/>
        <v/>
      </c>
      <c r="HB773" s="1554" t="str">
        <f t="shared" si="190"/>
        <v/>
      </c>
      <c r="HC773" s="1554" t="str">
        <f t="shared" si="191"/>
        <v/>
      </c>
      <c r="HD773" s="1554" t="str">
        <f t="shared" si="192"/>
        <v/>
      </c>
      <c r="HE773" s="1554" t="str">
        <f t="shared" si="193"/>
        <v/>
      </c>
      <c r="HF773" s="1554" t="str">
        <f t="shared" si="194"/>
        <v/>
      </c>
      <c r="HG773" s="1554" t="str">
        <f t="shared" si="195"/>
        <v/>
      </c>
      <c r="HH773" s="1554" t="str">
        <f t="shared" si="196"/>
        <v/>
      </c>
      <c r="HI773" s="1554" t="str">
        <f t="shared" si="197"/>
        <v/>
      </c>
      <c r="HJ773" s="1554" t="str">
        <f t="shared" si="198"/>
        <v/>
      </c>
      <c r="HK773" s="1554" t="str">
        <f t="shared" si="199"/>
        <v/>
      </c>
      <c r="HL773" s="1554" t="str">
        <f t="shared" si="200"/>
        <v/>
      </c>
      <c r="HM773" s="1554" t="str">
        <f t="shared" si="201"/>
        <v/>
      </c>
      <c r="HN773" s="1554" t="str">
        <f t="shared" si="202"/>
        <v/>
      </c>
      <c r="HO773" s="1554" t="str">
        <f t="shared" si="203"/>
        <v/>
      </c>
      <c r="HP773" s="1554" t="str">
        <f t="shared" si="204"/>
        <v/>
      </c>
      <c r="HQ773" s="1554" t="str">
        <f t="shared" si="205"/>
        <v/>
      </c>
      <c r="HR773" s="1554" t="str">
        <f t="shared" si="206"/>
        <v/>
      </c>
      <c r="HS773" s="1554" t="str">
        <f t="shared" si="207"/>
        <v/>
      </c>
      <c r="HT773" s="1554" t="str">
        <f t="shared" si="208"/>
        <v/>
      </c>
      <c r="HU773" s="1554" t="str">
        <f t="shared" si="209"/>
        <v/>
      </c>
      <c r="HV773" s="1554" t="str">
        <f t="shared" si="210"/>
        <v/>
      </c>
      <c r="HW773" s="1554" t="str">
        <f t="shared" si="211"/>
        <v/>
      </c>
      <c r="HX773" s="1554" t="str">
        <f t="shared" si="212"/>
        <v/>
      </c>
      <c r="HY773" s="1554" t="str">
        <f t="shared" si="213"/>
        <v/>
      </c>
      <c r="HZ773" s="1554" t="str">
        <f t="shared" si="214"/>
        <v/>
      </c>
      <c r="IA773" s="1554" t="str">
        <f t="shared" si="215"/>
        <v/>
      </c>
      <c r="IB773" s="1554" t="str">
        <f t="shared" si="216"/>
        <v/>
      </c>
      <c r="IC773" s="1554" t="str">
        <f t="shared" si="217"/>
        <v/>
      </c>
      <c r="ID773" s="31" t="str">
        <f t="shared" si="218"/>
        <v/>
      </c>
      <c r="IE773" s="31" t="str">
        <f t="shared" si="219"/>
        <v/>
      </c>
      <c r="IF773" s="31" t="str">
        <f t="shared" si="220"/>
        <v/>
      </c>
      <c r="IG773" s="31" t="str">
        <f t="shared" si="221"/>
        <v/>
      </c>
      <c r="IH773" s="31" t="str">
        <f t="shared" si="222"/>
        <v/>
      </c>
      <c r="II773" s="531" t="str">
        <f t="shared" si="223"/>
        <v/>
      </c>
      <c r="IJ773" s="531" t="str">
        <f t="shared" si="224"/>
        <v/>
      </c>
      <c r="IK773" s="531" t="str">
        <f t="shared" si="225"/>
        <v/>
      </c>
      <c r="IL773" s="531" t="str">
        <f t="shared" si="226"/>
        <v/>
      </c>
      <c r="IM773" s="531" t="str">
        <f t="shared" si="227"/>
        <v/>
      </c>
      <c r="IN773" s="531" t="str">
        <f t="shared" si="228"/>
        <v/>
      </c>
      <c r="IO773" s="531" t="str">
        <f t="shared" si="229"/>
        <v/>
      </c>
      <c r="IP773" s="531" t="str">
        <f t="shared" si="230"/>
        <v/>
      </c>
      <c r="IQ773" s="531" t="str">
        <f t="shared" si="231"/>
        <v/>
      </c>
      <c r="IR773" s="531" t="str">
        <f t="shared" si="232"/>
        <v/>
      </c>
      <c r="IS773" s="531" t="str">
        <f t="shared" si="233"/>
        <v/>
      </c>
      <c r="IT773" s="531" t="str">
        <f t="shared" si="234"/>
        <v/>
      </c>
      <c r="IU773" s="531" t="str">
        <f t="shared" si="235"/>
        <v/>
      </c>
      <c r="IV773" s="531" t="str">
        <f t="shared" si="236"/>
        <v/>
      </c>
      <c r="IW773" s="531" t="str">
        <f t="shared" si="237"/>
        <v/>
      </c>
      <c r="IX773" s="531" t="str">
        <f t="shared" si="238"/>
        <v/>
      </c>
      <c r="IY773" s="531" t="str">
        <f t="shared" si="239"/>
        <v/>
      </c>
      <c r="IZ773" s="531" t="str">
        <f t="shared" si="240"/>
        <v/>
      </c>
      <c r="JA773" s="531" t="str">
        <f t="shared" si="241"/>
        <v/>
      </c>
      <c r="JB773" s="531" t="str">
        <f t="shared" si="242"/>
        <v/>
      </c>
      <c r="JC773" s="615">
        <f t="shared" si="243"/>
        <v>0</v>
      </c>
      <c r="JD773" s="615">
        <f t="shared" si="244"/>
        <v>0</v>
      </c>
      <c r="JE773" s="615">
        <f t="shared" si="245"/>
        <v>0</v>
      </c>
      <c r="JF773" s="615">
        <f t="shared" si="246"/>
        <v>0</v>
      </c>
      <c r="JG773" s="615">
        <f t="shared" si="247"/>
        <v>0</v>
      </c>
      <c r="JH773" s="615">
        <f t="shared" si="248"/>
        <v>0</v>
      </c>
      <c r="JI773" s="615">
        <f t="shared" si="249"/>
        <v>0</v>
      </c>
      <c r="JJ773" s="615">
        <f t="shared" si="250"/>
        <v>0</v>
      </c>
      <c r="JK773" s="615">
        <f t="shared" si="251"/>
        <v>0</v>
      </c>
      <c r="JL773" s="615">
        <f t="shared" si="252"/>
        <v>0</v>
      </c>
      <c r="JM773" s="615">
        <f t="shared" si="253"/>
        <v>0</v>
      </c>
      <c r="JN773" s="615">
        <f t="shared" si="254"/>
        <v>0</v>
      </c>
      <c r="JO773" s="615">
        <f t="shared" si="255"/>
        <v>0</v>
      </c>
      <c r="JP773" s="615">
        <f t="shared" si="256"/>
        <v>0</v>
      </c>
      <c r="JQ773" s="615">
        <f t="shared" si="257"/>
        <v>0</v>
      </c>
    </row>
    <row r="774" spans="1:277" ht="12" customHeight="1">
      <c r="A774" s="1190" t="str">
        <f t="shared" si="0"/>
        <v/>
      </c>
      <c r="B774" s="1545" t="str">
        <f>'Part VI-Revenues &amp; Expenses'!B31</f>
        <v>&lt;&lt;Select&gt;&gt;</v>
      </c>
      <c r="C774" s="1546">
        <f>'Part VI-Revenues &amp; Expenses'!C31</f>
        <v>0</v>
      </c>
      <c r="D774" s="1547">
        <f>'Part VI-Revenues &amp; Expenses'!D31</f>
        <v>0</v>
      </c>
      <c r="E774" s="1548">
        <f>'Part VI-Revenues &amp; Expenses'!E31</f>
        <v>0</v>
      </c>
      <c r="F774" s="1548">
        <f>'Part VI-Revenues &amp; Expenses'!F31</f>
        <v>0</v>
      </c>
      <c r="G774" s="1548">
        <f>'Part VI-Revenues &amp; Expenses'!G31</f>
        <v>0</v>
      </c>
      <c r="H774" s="1548">
        <f>'Part VI-Revenues &amp; Expenses'!H31</f>
        <v>0</v>
      </c>
      <c r="I774" s="1548">
        <f>'Part VI-Revenues &amp; Expenses'!I31</f>
        <v>0</v>
      </c>
      <c r="J774" s="1549">
        <f>'Part VI-Revenues &amp; Expenses'!J31</f>
        <v>0</v>
      </c>
      <c r="K774" s="1550">
        <f t="shared" si="1"/>
        <v>0</v>
      </c>
      <c r="L774" s="1550">
        <f t="shared" si="2"/>
        <v>0</v>
      </c>
      <c r="M774" s="1551">
        <f>'Part VI-Revenues &amp; Expenses'!M31</f>
        <v>0</v>
      </c>
      <c r="N774" s="1551">
        <f>'Part VI-Revenues &amp; Expenses'!N31</f>
        <v>0</v>
      </c>
      <c r="O774" s="1551">
        <f>'Part VI-Revenues &amp; Expenses'!O31</f>
        <v>0</v>
      </c>
      <c r="P774" s="1406">
        <f>'Part VI-Revenues &amp; Expenses'!P31</f>
        <v>0</v>
      </c>
      <c r="Q774" s="1552" t="str">
        <f>'Part VI-Revenues &amp; Expenses'!Q31</f>
        <v/>
      </c>
      <c r="R774" s="1553" t="str">
        <f>'Part VI-Revenues &amp; Expenses'!R31</f>
        <v/>
      </c>
      <c r="S774" s="1552">
        <f>'Part VI-Revenues &amp; Expenses'!S31</f>
        <v>0</v>
      </c>
      <c r="T774" s="1553">
        <f>'Part VI-Revenues &amp; Expenses'!T31</f>
        <v>0</v>
      </c>
      <c r="U774" s="1477"/>
      <c r="V774" s="1477"/>
      <c r="W774" s="531" t="str">
        <f t="shared" si="3"/>
        <v/>
      </c>
      <c r="X774" s="531" t="str">
        <f t="shared" si="4"/>
        <v/>
      </c>
      <c r="Y774" s="531" t="str">
        <f t="shared" si="5"/>
        <v/>
      </c>
      <c r="Z774" s="531" t="str">
        <f t="shared" si="6"/>
        <v/>
      </c>
      <c r="AA774" s="531" t="str">
        <f t="shared" si="7"/>
        <v/>
      </c>
      <c r="AB774" s="531" t="str">
        <f t="shared" si="8"/>
        <v/>
      </c>
      <c r="AC774" s="531" t="str">
        <f t="shared" si="9"/>
        <v/>
      </c>
      <c r="AD774" s="531" t="str">
        <f t="shared" si="10"/>
        <v/>
      </c>
      <c r="AE774" s="531" t="str">
        <f t="shared" si="11"/>
        <v/>
      </c>
      <c r="AF774" s="531" t="str">
        <f t="shared" si="12"/>
        <v/>
      </c>
      <c r="AG774" s="531" t="str">
        <f t="shared" si="13"/>
        <v/>
      </c>
      <c r="AH774" s="531" t="str">
        <f t="shared" si="14"/>
        <v/>
      </c>
      <c r="AI774" s="531" t="str">
        <f t="shared" si="15"/>
        <v/>
      </c>
      <c r="AJ774" s="531" t="str">
        <f t="shared" si="16"/>
        <v/>
      </c>
      <c r="AK774" s="531" t="str">
        <f t="shared" si="17"/>
        <v/>
      </c>
      <c r="AL774" s="531" t="str">
        <f t="shared" si="18"/>
        <v/>
      </c>
      <c r="AM774" s="531" t="str">
        <f t="shared" si="19"/>
        <v/>
      </c>
      <c r="AN774" s="531" t="str">
        <f t="shared" si="20"/>
        <v/>
      </c>
      <c r="AO774" s="531" t="str">
        <f t="shared" si="21"/>
        <v/>
      </c>
      <c r="AP774" s="531" t="str">
        <f t="shared" si="22"/>
        <v/>
      </c>
      <c r="AQ774" s="531" t="str">
        <f t="shared" si="23"/>
        <v/>
      </c>
      <c r="AR774" s="531" t="str">
        <f t="shared" si="24"/>
        <v/>
      </c>
      <c r="AS774" s="531" t="str">
        <f t="shared" si="25"/>
        <v/>
      </c>
      <c r="AT774" s="531" t="str">
        <f t="shared" si="26"/>
        <v/>
      </c>
      <c r="AU774" s="531" t="str">
        <f t="shared" si="27"/>
        <v/>
      </c>
      <c r="AV774" s="531" t="str">
        <f t="shared" si="28"/>
        <v/>
      </c>
      <c r="AW774" s="531" t="str">
        <f t="shared" si="29"/>
        <v/>
      </c>
      <c r="AX774" s="531" t="str">
        <f t="shared" si="30"/>
        <v/>
      </c>
      <c r="AY774" s="531" t="str">
        <f t="shared" si="31"/>
        <v/>
      </c>
      <c r="AZ774" s="531" t="str">
        <f t="shared" si="32"/>
        <v/>
      </c>
      <c r="BA774" s="531" t="str">
        <f t="shared" si="33"/>
        <v/>
      </c>
      <c r="BB774" s="531" t="str">
        <f t="shared" si="34"/>
        <v/>
      </c>
      <c r="BC774" s="531" t="str">
        <f t="shared" si="35"/>
        <v/>
      </c>
      <c r="BD774" s="531" t="str">
        <f t="shared" si="36"/>
        <v/>
      </c>
      <c r="BE774" s="531" t="str">
        <f t="shared" si="37"/>
        <v/>
      </c>
      <c r="BF774" s="531" t="str">
        <f t="shared" si="38"/>
        <v/>
      </c>
      <c r="BG774" s="531" t="str">
        <f t="shared" si="39"/>
        <v/>
      </c>
      <c r="BH774" s="531" t="str">
        <f t="shared" si="40"/>
        <v/>
      </c>
      <c r="BI774" s="531" t="str">
        <f t="shared" si="41"/>
        <v/>
      </c>
      <c r="BJ774" s="531" t="str">
        <f t="shared" si="42"/>
        <v/>
      </c>
      <c r="BK774" s="531" t="str">
        <f t="shared" si="43"/>
        <v/>
      </c>
      <c r="BL774" s="531" t="str">
        <f t="shared" si="44"/>
        <v/>
      </c>
      <c r="BM774" s="531" t="str">
        <f t="shared" si="45"/>
        <v/>
      </c>
      <c r="BN774" s="531" t="str">
        <f t="shared" si="46"/>
        <v/>
      </c>
      <c r="BO774" s="531" t="str">
        <f t="shared" si="47"/>
        <v/>
      </c>
      <c r="BP774" s="531" t="str">
        <f t="shared" si="48"/>
        <v/>
      </c>
      <c r="BQ774" s="531" t="str">
        <f t="shared" si="49"/>
        <v/>
      </c>
      <c r="BR774" s="531" t="str">
        <f t="shared" si="50"/>
        <v/>
      </c>
      <c r="BS774" s="531" t="str">
        <f t="shared" si="51"/>
        <v/>
      </c>
      <c r="BT774" s="531" t="str">
        <f t="shared" si="52"/>
        <v/>
      </c>
      <c r="BU774" s="531" t="str">
        <f t="shared" si="53"/>
        <v/>
      </c>
      <c r="BV774" s="531" t="str">
        <f t="shared" si="54"/>
        <v/>
      </c>
      <c r="BW774" s="531" t="str">
        <f t="shared" si="55"/>
        <v/>
      </c>
      <c r="BX774" s="531" t="str">
        <f t="shared" si="56"/>
        <v/>
      </c>
      <c r="BY774" s="531" t="str">
        <f t="shared" si="57"/>
        <v/>
      </c>
      <c r="BZ774" s="531" t="str">
        <f t="shared" si="58"/>
        <v/>
      </c>
      <c r="CA774" s="531" t="str">
        <f t="shared" si="59"/>
        <v/>
      </c>
      <c r="CB774" s="531" t="str">
        <f t="shared" si="60"/>
        <v/>
      </c>
      <c r="CC774" s="531" t="str">
        <f t="shared" si="61"/>
        <v/>
      </c>
      <c r="CD774" s="531" t="str">
        <f t="shared" si="62"/>
        <v/>
      </c>
      <c r="CE774" s="531" t="str">
        <f t="shared" si="63"/>
        <v/>
      </c>
      <c r="CF774" s="531" t="str">
        <f t="shared" si="64"/>
        <v/>
      </c>
      <c r="CG774" s="531" t="str">
        <f t="shared" si="65"/>
        <v/>
      </c>
      <c r="CH774" s="531" t="str">
        <f t="shared" si="66"/>
        <v/>
      </c>
      <c r="CI774" s="531" t="str">
        <f t="shared" si="67"/>
        <v/>
      </c>
      <c r="CJ774" s="531" t="str">
        <f t="shared" si="68"/>
        <v/>
      </c>
      <c r="CK774" s="531" t="str">
        <f t="shared" si="69"/>
        <v/>
      </c>
      <c r="CL774" s="531" t="str">
        <f t="shared" si="70"/>
        <v/>
      </c>
      <c r="CM774" s="531" t="str">
        <f t="shared" si="71"/>
        <v/>
      </c>
      <c r="CN774" s="531" t="str">
        <f t="shared" si="72"/>
        <v/>
      </c>
      <c r="CO774" s="531" t="str">
        <f t="shared" si="73"/>
        <v/>
      </c>
      <c r="CP774" s="531" t="str">
        <f t="shared" si="74"/>
        <v/>
      </c>
      <c r="CQ774" s="531" t="str">
        <f t="shared" si="75"/>
        <v/>
      </c>
      <c r="CR774" s="531" t="str">
        <f t="shared" si="76"/>
        <v/>
      </c>
      <c r="CS774" s="531" t="str">
        <f t="shared" si="77"/>
        <v/>
      </c>
      <c r="CT774" s="531" t="str">
        <f t="shared" si="78"/>
        <v/>
      </c>
      <c r="CU774" s="531" t="str">
        <f t="shared" si="79"/>
        <v/>
      </c>
      <c r="CV774" s="531" t="str">
        <f t="shared" si="80"/>
        <v/>
      </c>
      <c r="CW774" s="531" t="str">
        <f t="shared" si="81"/>
        <v/>
      </c>
      <c r="CX774" s="531" t="str">
        <f t="shared" si="82"/>
        <v/>
      </c>
      <c r="CY774" s="531" t="str">
        <f t="shared" si="83"/>
        <v/>
      </c>
      <c r="CZ774" s="531" t="str">
        <f t="shared" si="84"/>
        <v/>
      </c>
      <c r="DA774" s="531" t="str">
        <f t="shared" si="85"/>
        <v/>
      </c>
      <c r="DB774" s="531" t="str">
        <f t="shared" si="86"/>
        <v/>
      </c>
      <c r="DC774" s="531" t="str">
        <f t="shared" si="87"/>
        <v/>
      </c>
      <c r="DD774" s="531" t="str">
        <f t="shared" si="88"/>
        <v/>
      </c>
      <c r="DE774" s="531" t="str">
        <f t="shared" si="89"/>
        <v/>
      </c>
      <c r="DF774" s="531" t="str">
        <f t="shared" si="90"/>
        <v/>
      </c>
      <c r="DG774" s="531" t="str">
        <f t="shared" si="91"/>
        <v/>
      </c>
      <c r="DH774" s="531" t="str">
        <f t="shared" si="92"/>
        <v/>
      </c>
      <c r="DI774" s="531" t="str">
        <f t="shared" si="93"/>
        <v/>
      </c>
      <c r="DJ774" s="531" t="str">
        <f t="shared" si="94"/>
        <v/>
      </c>
      <c r="DK774" s="531" t="str">
        <f t="shared" si="95"/>
        <v/>
      </c>
      <c r="DL774" s="531" t="str">
        <f t="shared" si="96"/>
        <v/>
      </c>
      <c r="DM774" s="531" t="str">
        <f t="shared" si="97"/>
        <v/>
      </c>
      <c r="DN774" s="531" t="str">
        <f t="shared" si="98"/>
        <v/>
      </c>
      <c r="DO774" s="531" t="str">
        <f t="shared" si="99"/>
        <v/>
      </c>
      <c r="DP774" s="531" t="str">
        <f t="shared" si="100"/>
        <v/>
      </c>
      <c r="DQ774" s="531" t="str">
        <f t="shared" si="101"/>
        <v/>
      </c>
      <c r="DR774" s="531" t="str">
        <f t="shared" si="102"/>
        <v/>
      </c>
      <c r="DS774" s="531" t="str">
        <f t="shared" si="103"/>
        <v/>
      </c>
      <c r="DT774" s="531" t="str">
        <f t="shared" si="104"/>
        <v/>
      </c>
      <c r="DU774" s="531" t="str">
        <f t="shared" si="105"/>
        <v/>
      </c>
      <c r="DV774" s="531" t="str">
        <f t="shared" si="106"/>
        <v/>
      </c>
      <c r="DW774" s="531" t="str">
        <f t="shared" si="107"/>
        <v/>
      </c>
      <c r="DX774" s="531" t="str">
        <f t="shared" si="108"/>
        <v/>
      </c>
      <c r="DY774" s="531" t="str">
        <f t="shared" si="109"/>
        <v/>
      </c>
      <c r="DZ774" s="531" t="str">
        <f t="shared" si="110"/>
        <v/>
      </c>
      <c r="EA774" s="531" t="str">
        <f t="shared" si="111"/>
        <v/>
      </c>
      <c r="EB774" s="531" t="str">
        <f t="shared" si="112"/>
        <v/>
      </c>
      <c r="EC774" s="531" t="str">
        <f t="shared" si="113"/>
        <v/>
      </c>
      <c r="ED774" s="531" t="str">
        <f t="shared" si="114"/>
        <v/>
      </c>
      <c r="EE774" s="531" t="str">
        <f t="shared" si="115"/>
        <v/>
      </c>
      <c r="EF774" s="531" t="str">
        <f t="shared" si="116"/>
        <v/>
      </c>
      <c r="EG774" s="531" t="str">
        <f t="shared" si="117"/>
        <v/>
      </c>
      <c r="EH774" s="531" t="str">
        <f t="shared" si="118"/>
        <v/>
      </c>
      <c r="EI774" s="531" t="str">
        <f t="shared" si="119"/>
        <v/>
      </c>
      <c r="EJ774" s="531" t="str">
        <f t="shared" si="120"/>
        <v/>
      </c>
      <c r="EK774" s="531" t="str">
        <f t="shared" si="121"/>
        <v/>
      </c>
      <c r="EL774" s="531" t="str">
        <f t="shared" si="122"/>
        <v/>
      </c>
      <c r="EM774" s="531" t="str">
        <f t="shared" si="123"/>
        <v/>
      </c>
      <c r="EN774" s="531" t="str">
        <f t="shared" si="124"/>
        <v/>
      </c>
      <c r="EO774" s="531" t="str">
        <f t="shared" si="125"/>
        <v/>
      </c>
      <c r="EP774" s="531" t="str">
        <f t="shared" si="126"/>
        <v/>
      </c>
      <c r="EQ774" s="531" t="str">
        <f t="shared" si="127"/>
        <v/>
      </c>
      <c r="ER774" s="531" t="str">
        <f t="shared" si="128"/>
        <v/>
      </c>
      <c r="ES774" s="531" t="str">
        <f t="shared" si="129"/>
        <v/>
      </c>
      <c r="ET774" s="531" t="str">
        <f t="shared" si="130"/>
        <v/>
      </c>
      <c r="EU774" s="531" t="str">
        <f t="shared" si="131"/>
        <v/>
      </c>
      <c r="EV774" s="531" t="str">
        <f t="shared" si="132"/>
        <v/>
      </c>
      <c r="EW774" s="1554" t="str">
        <f t="shared" si="133"/>
        <v/>
      </c>
      <c r="EX774" s="1554" t="str">
        <f t="shared" si="134"/>
        <v/>
      </c>
      <c r="EY774" s="1554" t="str">
        <f t="shared" si="135"/>
        <v/>
      </c>
      <c r="EZ774" s="1554" t="str">
        <f t="shared" si="136"/>
        <v/>
      </c>
      <c r="FA774" s="1554" t="str">
        <f t="shared" si="137"/>
        <v/>
      </c>
      <c r="FB774" s="1554" t="str">
        <f t="shared" si="138"/>
        <v/>
      </c>
      <c r="FC774" s="1554" t="str">
        <f t="shared" si="139"/>
        <v/>
      </c>
      <c r="FD774" s="1554" t="str">
        <f t="shared" si="140"/>
        <v/>
      </c>
      <c r="FE774" s="1554" t="str">
        <f t="shared" si="141"/>
        <v/>
      </c>
      <c r="FF774" s="1554" t="str">
        <f t="shared" si="142"/>
        <v/>
      </c>
      <c r="FG774" s="1554" t="str">
        <f t="shared" si="143"/>
        <v/>
      </c>
      <c r="FH774" s="1554" t="str">
        <f t="shared" si="144"/>
        <v/>
      </c>
      <c r="FI774" s="1554" t="str">
        <f t="shared" si="145"/>
        <v/>
      </c>
      <c r="FJ774" s="1554" t="str">
        <f t="shared" si="146"/>
        <v/>
      </c>
      <c r="FK774" s="1554" t="str">
        <f t="shared" si="147"/>
        <v/>
      </c>
      <c r="FL774" s="1554" t="str">
        <f t="shared" si="148"/>
        <v/>
      </c>
      <c r="FM774" s="1554" t="str">
        <f t="shared" si="149"/>
        <v/>
      </c>
      <c r="FN774" s="1554" t="str">
        <f t="shared" si="150"/>
        <v/>
      </c>
      <c r="FO774" s="1554" t="str">
        <f t="shared" si="151"/>
        <v/>
      </c>
      <c r="FP774" s="1554" t="str">
        <f t="shared" si="152"/>
        <v/>
      </c>
      <c r="FQ774" s="1554" t="str">
        <f t="shared" si="153"/>
        <v/>
      </c>
      <c r="FR774" s="1554" t="str">
        <f t="shared" si="154"/>
        <v/>
      </c>
      <c r="FS774" s="1554" t="str">
        <f t="shared" si="155"/>
        <v/>
      </c>
      <c r="FT774" s="1554" t="str">
        <f t="shared" si="156"/>
        <v/>
      </c>
      <c r="FU774" s="1554" t="str">
        <f t="shared" si="157"/>
        <v/>
      </c>
      <c r="FV774" s="1554" t="str">
        <f t="shared" si="158"/>
        <v/>
      </c>
      <c r="FW774" s="1554" t="str">
        <f t="shared" si="159"/>
        <v/>
      </c>
      <c r="FX774" s="1554" t="str">
        <f t="shared" si="160"/>
        <v/>
      </c>
      <c r="FY774" s="1554" t="str">
        <f t="shared" si="161"/>
        <v/>
      </c>
      <c r="FZ774" s="1554" t="str">
        <f t="shared" si="162"/>
        <v/>
      </c>
      <c r="GA774" s="1554" t="str">
        <f t="shared" si="163"/>
        <v/>
      </c>
      <c r="GB774" s="1554" t="str">
        <f t="shared" si="164"/>
        <v/>
      </c>
      <c r="GC774" s="1554" t="str">
        <f t="shared" si="165"/>
        <v/>
      </c>
      <c r="GD774" s="1554" t="str">
        <f t="shared" si="166"/>
        <v/>
      </c>
      <c r="GE774" s="1554" t="str">
        <f t="shared" si="167"/>
        <v/>
      </c>
      <c r="GF774" s="1554" t="str">
        <f t="shared" si="168"/>
        <v/>
      </c>
      <c r="GG774" s="1554" t="str">
        <f t="shared" si="169"/>
        <v/>
      </c>
      <c r="GH774" s="1554" t="str">
        <f t="shared" si="170"/>
        <v/>
      </c>
      <c r="GI774" s="1554" t="str">
        <f t="shared" si="171"/>
        <v/>
      </c>
      <c r="GJ774" s="1554" t="str">
        <f t="shared" si="172"/>
        <v/>
      </c>
      <c r="GK774" s="1554" t="str">
        <f t="shared" si="173"/>
        <v/>
      </c>
      <c r="GL774" s="1554" t="str">
        <f t="shared" si="174"/>
        <v/>
      </c>
      <c r="GM774" s="1554" t="str">
        <f t="shared" si="175"/>
        <v/>
      </c>
      <c r="GN774" s="1554" t="str">
        <f t="shared" si="176"/>
        <v/>
      </c>
      <c r="GO774" s="1554" t="str">
        <f t="shared" si="177"/>
        <v/>
      </c>
      <c r="GP774" s="1554" t="str">
        <f t="shared" si="178"/>
        <v/>
      </c>
      <c r="GQ774" s="1554" t="str">
        <f t="shared" si="179"/>
        <v/>
      </c>
      <c r="GR774" s="1554" t="str">
        <f t="shared" si="180"/>
        <v/>
      </c>
      <c r="GS774" s="1554" t="str">
        <f t="shared" si="181"/>
        <v/>
      </c>
      <c r="GT774" s="1554" t="str">
        <f t="shared" si="182"/>
        <v/>
      </c>
      <c r="GU774" s="1554" t="str">
        <f t="shared" si="183"/>
        <v/>
      </c>
      <c r="GV774" s="1554" t="str">
        <f t="shared" si="184"/>
        <v/>
      </c>
      <c r="GW774" s="1554" t="str">
        <f t="shared" si="185"/>
        <v/>
      </c>
      <c r="GX774" s="1554" t="str">
        <f t="shared" si="186"/>
        <v/>
      </c>
      <c r="GY774" s="1554" t="str">
        <f t="shared" si="187"/>
        <v/>
      </c>
      <c r="GZ774" s="1554" t="str">
        <f t="shared" si="188"/>
        <v/>
      </c>
      <c r="HA774" s="1554" t="str">
        <f t="shared" si="189"/>
        <v/>
      </c>
      <c r="HB774" s="1554" t="str">
        <f t="shared" si="190"/>
        <v/>
      </c>
      <c r="HC774" s="1554" t="str">
        <f t="shared" si="191"/>
        <v/>
      </c>
      <c r="HD774" s="1554" t="str">
        <f t="shared" si="192"/>
        <v/>
      </c>
      <c r="HE774" s="1554" t="str">
        <f t="shared" si="193"/>
        <v/>
      </c>
      <c r="HF774" s="1554" t="str">
        <f t="shared" si="194"/>
        <v/>
      </c>
      <c r="HG774" s="1554" t="str">
        <f t="shared" si="195"/>
        <v/>
      </c>
      <c r="HH774" s="1554" t="str">
        <f t="shared" si="196"/>
        <v/>
      </c>
      <c r="HI774" s="1554" t="str">
        <f t="shared" si="197"/>
        <v/>
      </c>
      <c r="HJ774" s="1554" t="str">
        <f t="shared" si="198"/>
        <v/>
      </c>
      <c r="HK774" s="1554" t="str">
        <f t="shared" si="199"/>
        <v/>
      </c>
      <c r="HL774" s="1554" t="str">
        <f t="shared" si="200"/>
        <v/>
      </c>
      <c r="HM774" s="1554" t="str">
        <f t="shared" si="201"/>
        <v/>
      </c>
      <c r="HN774" s="1554" t="str">
        <f t="shared" si="202"/>
        <v/>
      </c>
      <c r="HO774" s="1554" t="str">
        <f t="shared" si="203"/>
        <v/>
      </c>
      <c r="HP774" s="1554" t="str">
        <f t="shared" si="204"/>
        <v/>
      </c>
      <c r="HQ774" s="1554" t="str">
        <f t="shared" si="205"/>
        <v/>
      </c>
      <c r="HR774" s="1554" t="str">
        <f t="shared" si="206"/>
        <v/>
      </c>
      <c r="HS774" s="1554" t="str">
        <f t="shared" si="207"/>
        <v/>
      </c>
      <c r="HT774" s="1554" t="str">
        <f t="shared" si="208"/>
        <v/>
      </c>
      <c r="HU774" s="1554" t="str">
        <f t="shared" si="209"/>
        <v/>
      </c>
      <c r="HV774" s="1554" t="str">
        <f t="shared" si="210"/>
        <v/>
      </c>
      <c r="HW774" s="1554" t="str">
        <f t="shared" si="211"/>
        <v/>
      </c>
      <c r="HX774" s="1554" t="str">
        <f t="shared" si="212"/>
        <v/>
      </c>
      <c r="HY774" s="1554" t="str">
        <f t="shared" si="213"/>
        <v/>
      </c>
      <c r="HZ774" s="1554" t="str">
        <f t="shared" si="214"/>
        <v/>
      </c>
      <c r="IA774" s="1554" t="str">
        <f t="shared" si="215"/>
        <v/>
      </c>
      <c r="IB774" s="1554" t="str">
        <f t="shared" si="216"/>
        <v/>
      </c>
      <c r="IC774" s="1554" t="str">
        <f t="shared" si="217"/>
        <v/>
      </c>
      <c r="ID774" s="31" t="str">
        <f t="shared" si="218"/>
        <v/>
      </c>
      <c r="IE774" s="31" t="str">
        <f t="shared" si="219"/>
        <v/>
      </c>
      <c r="IF774" s="31" t="str">
        <f t="shared" si="220"/>
        <v/>
      </c>
      <c r="IG774" s="31" t="str">
        <f t="shared" si="221"/>
        <v/>
      </c>
      <c r="IH774" s="31" t="str">
        <f t="shared" si="222"/>
        <v/>
      </c>
      <c r="II774" s="531" t="str">
        <f t="shared" si="223"/>
        <v/>
      </c>
      <c r="IJ774" s="531" t="str">
        <f t="shared" si="224"/>
        <v/>
      </c>
      <c r="IK774" s="531" t="str">
        <f t="shared" si="225"/>
        <v/>
      </c>
      <c r="IL774" s="531" t="str">
        <f t="shared" si="226"/>
        <v/>
      </c>
      <c r="IM774" s="531" t="str">
        <f t="shared" si="227"/>
        <v/>
      </c>
      <c r="IN774" s="531" t="str">
        <f t="shared" si="228"/>
        <v/>
      </c>
      <c r="IO774" s="531" t="str">
        <f t="shared" si="229"/>
        <v/>
      </c>
      <c r="IP774" s="531" t="str">
        <f t="shared" si="230"/>
        <v/>
      </c>
      <c r="IQ774" s="531" t="str">
        <f t="shared" si="231"/>
        <v/>
      </c>
      <c r="IR774" s="531" t="str">
        <f t="shared" si="232"/>
        <v/>
      </c>
      <c r="IS774" s="531" t="str">
        <f t="shared" si="233"/>
        <v/>
      </c>
      <c r="IT774" s="531" t="str">
        <f t="shared" si="234"/>
        <v/>
      </c>
      <c r="IU774" s="531" t="str">
        <f t="shared" si="235"/>
        <v/>
      </c>
      <c r="IV774" s="531" t="str">
        <f t="shared" si="236"/>
        <v/>
      </c>
      <c r="IW774" s="531" t="str">
        <f t="shared" si="237"/>
        <v/>
      </c>
      <c r="IX774" s="531" t="str">
        <f t="shared" si="238"/>
        <v/>
      </c>
      <c r="IY774" s="531" t="str">
        <f t="shared" si="239"/>
        <v/>
      </c>
      <c r="IZ774" s="531" t="str">
        <f t="shared" si="240"/>
        <v/>
      </c>
      <c r="JA774" s="531" t="str">
        <f t="shared" si="241"/>
        <v/>
      </c>
      <c r="JB774" s="531" t="str">
        <f t="shared" si="242"/>
        <v/>
      </c>
      <c r="JC774" s="615">
        <f t="shared" si="243"/>
        <v>0</v>
      </c>
      <c r="JD774" s="615">
        <f t="shared" si="244"/>
        <v>0</v>
      </c>
      <c r="JE774" s="615">
        <f t="shared" si="245"/>
        <v>0</v>
      </c>
      <c r="JF774" s="615">
        <f t="shared" si="246"/>
        <v>0</v>
      </c>
      <c r="JG774" s="615">
        <f t="shared" si="247"/>
        <v>0</v>
      </c>
      <c r="JH774" s="615">
        <f t="shared" si="248"/>
        <v>0</v>
      </c>
      <c r="JI774" s="615">
        <f t="shared" si="249"/>
        <v>0</v>
      </c>
      <c r="JJ774" s="615">
        <f t="shared" si="250"/>
        <v>0</v>
      </c>
      <c r="JK774" s="615">
        <f t="shared" si="251"/>
        <v>0</v>
      </c>
      <c r="JL774" s="615">
        <f t="shared" si="252"/>
        <v>0</v>
      </c>
      <c r="JM774" s="615">
        <f t="shared" si="253"/>
        <v>0</v>
      </c>
      <c r="JN774" s="615">
        <f t="shared" si="254"/>
        <v>0</v>
      </c>
      <c r="JO774" s="615">
        <f t="shared" si="255"/>
        <v>0</v>
      </c>
      <c r="JP774" s="615">
        <f t="shared" si="256"/>
        <v>0</v>
      </c>
      <c r="JQ774" s="615">
        <f t="shared" si="257"/>
        <v>0</v>
      </c>
    </row>
    <row r="775" spans="1:277" ht="12" customHeight="1">
      <c r="A775" s="1190" t="str">
        <f t="shared" si="0"/>
        <v/>
      </c>
      <c r="B775" s="1545" t="str">
        <f>'Part VI-Revenues &amp; Expenses'!B32</f>
        <v>&lt;&lt;Select&gt;&gt;</v>
      </c>
      <c r="C775" s="1546">
        <f>'Part VI-Revenues &amp; Expenses'!C32</f>
        <v>0</v>
      </c>
      <c r="D775" s="1547">
        <f>'Part VI-Revenues &amp; Expenses'!D32</f>
        <v>0</v>
      </c>
      <c r="E775" s="1548">
        <f>'Part VI-Revenues &amp; Expenses'!E32</f>
        <v>0</v>
      </c>
      <c r="F775" s="1548">
        <f>'Part VI-Revenues &amp; Expenses'!F32</f>
        <v>0</v>
      </c>
      <c r="G775" s="1548">
        <f>'Part VI-Revenues &amp; Expenses'!G32</f>
        <v>0</v>
      </c>
      <c r="H775" s="1548">
        <f>'Part VI-Revenues &amp; Expenses'!H32</f>
        <v>0</v>
      </c>
      <c r="I775" s="1548">
        <f>'Part VI-Revenues &amp; Expenses'!I32</f>
        <v>0</v>
      </c>
      <c r="J775" s="1549">
        <f>'Part VI-Revenues &amp; Expenses'!J32</f>
        <v>0</v>
      </c>
      <c r="K775" s="1550">
        <f t="shared" si="1"/>
        <v>0</v>
      </c>
      <c r="L775" s="1550">
        <f t="shared" si="2"/>
        <v>0</v>
      </c>
      <c r="M775" s="1551">
        <f>'Part VI-Revenues &amp; Expenses'!M32</f>
        <v>0</v>
      </c>
      <c r="N775" s="1551">
        <f>'Part VI-Revenues &amp; Expenses'!N32</f>
        <v>0</v>
      </c>
      <c r="O775" s="1551">
        <f>'Part VI-Revenues &amp; Expenses'!O32</f>
        <v>0</v>
      </c>
      <c r="P775" s="1406">
        <f>'Part VI-Revenues &amp; Expenses'!P32</f>
        <v>0</v>
      </c>
      <c r="Q775" s="1552" t="str">
        <f>'Part VI-Revenues &amp; Expenses'!Q32</f>
        <v/>
      </c>
      <c r="R775" s="1553" t="str">
        <f>'Part VI-Revenues &amp; Expenses'!R32</f>
        <v/>
      </c>
      <c r="S775" s="1552">
        <f>'Part VI-Revenues &amp; Expenses'!S32</f>
        <v>0</v>
      </c>
      <c r="T775" s="1553">
        <f>'Part VI-Revenues &amp; Expenses'!T32</f>
        <v>0</v>
      </c>
      <c r="U775" s="1477"/>
      <c r="V775" s="1477"/>
      <c r="W775" s="531" t="str">
        <f t="shared" si="3"/>
        <v/>
      </c>
      <c r="X775" s="531" t="str">
        <f t="shared" si="4"/>
        <v/>
      </c>
      <c r="Y775" s="531" t="str">
        <f t="shared" si="5"/>
        <v/>
      </c>
      <c r="Z775" s="531" t="str">
        <f t="shared" si="6"/>
        <v/>
      </c>
      <c r="AA775" s="531" t="str">
        <f t="shared" si="7"/>
        <v/>
      </c>
      <c r="AB775" s="531" t="str">
        <f t="shared" si="8"/>
        <v/>
      </c>
      <c r="AC775" s="531" t="str">
        <f t="shared" si="9"/>
        <v/>
      </c>
      <c r="AD775" s="531" t="str">
        <f t="shared" si="10"/>
        <v/>
      </c>
      <c r="AE775" s="531" t="str">
        <f t="shared" si="11"/>
        <v/>
      </c>
      <c r="AF775" s="531" t="str">
        <f t="shared" si="12"/>
        <v/>
      </c>
      <c r="AG775" s="531" t="str">
        <f t="shared" si="13"/>
        <v/>
      </c>
      <c r="AH775" s="531" t="str">
        <f t="shared" si="14"/>
        <v/>
      </c>
      <c r="AI775" s="531" t="str">
        <f t="shared" si="15"/>
        <v/>
      </c>
      <c r="AJ775" s="531" t="str">
        <f t="shared" si="16"/>
        <v/>
      </c>
      <c r="AK775" s="531" t="str">
        <f t="shared" si="17"/>
        <v/>
      </c>
      <c r="AL775" s="531" t="str">
        <f t="shared" si="18"/>
        <v/>
      </c>
      <c r="AM775" s="531" t="str">
        <f t="shared" si="19"/>
        <v/>
      </c>
      <c r="AN775" s="531" t="str">
        <f t="shared" si="20"/>
        <v/>
      </c>
      <c r="AO775" s="531" t="str">
        <f t="shared" si="21"/>
        <v/>
      </c>
      <c r="AP775" s="531" t="str">
        <f t="shared" si="22"/>
        <v/>
      </c>
      <c r="AQ775" s="531" t="str">
        <f t="shared" si="23"/>
        <v/>
      </c>
      <c r="AR775" s="531" t="str">
        <f t="shared" si="24"/>
        <v/>
      </c>
      <c r="AS775" s="531" t="str">
        <f t="shared" si="25"/>
        <v/>
      </c>
      <c r="AT775" s="531" t="str">
        <f t="shared" si="26"/>
        <v/>
      </c>
      <c r="AU775" s="531" t="str">
        <f t="shared" si="27"/>
        <v/>
      </c>
      <c r="AV775" s="531" t="str">
        <f t="shared" si="28"/>
        <v/>
      </c>
      <c r="AW775" s="531" t="str">
        <f t="shared" si="29"/>
        <v/>
      </c>
      <c r="AX775" s="531" t="str">
        <f t="shared" si="30"/>
        <v/>
      </c>
      <c r="AY775" s="531" t="str">
        <f t="shared" si="31"/>
        <v/>
      </c>
      <c r="AZ775" s="531" t="str">
        <f t="shared" si="32"/>
        <v/>
      </c>
      <c r="BA775" s="531" t="str">
        <f t="shared" si="33"/>
        <v/>
      </c>
      <c r="BB775" s="531" t="str">
        <f t="shared" si="34"/>
        <v/>
      </c>
      <c r="BC775" s="531" t="str">
        <f t="shared" si="35"/>
        <v/>
      </c>
      <c r="BD775" s="531" t="str">
        <f t="shared" si="36"/>
        <v/>
      </c>
      <c r="BE775" s="531" t="str">
        <f t="shared" si="37"/>
        <v/>
      </c>
      <c r="BF775" s="531" t="str">
        <f t="shared" si="38"/>
        <v/>
      </c>
      <c r="BG775" s="531" t="str">
        <f t="shared" si="39"/>
        <v/>
      </c>
      <c r="BH775" s="531" t="str">
        <f t="shared" si="40"/>
        <v/>
      </c>
      <c r="BI775" s="531" t="str">
        <f t="shared" si="41"/>
        <v/>
      </c>
      <c r="BJ775" s="531" t="str">
        <f t="shared" si="42"/>
        <v/>
      </c>
      <c r="BK775" s="531" t="str">
        <f t="shared" si="43"/>
        <v/>
      </c>
      <c r="BL775" s="531" t="str">
        <f t="shared" si="44"/>
        <v/>
      </c>
      <c r="BM775" s="531" t="str">
        <f t="shared" si="45"/>
        <v/>
      </c>
      <c r="BN775" s="531" t="str">
        <f t="shared" si="46"/>
        <v/>
      </c>
      <c r="BO775" s="531" t="str">
        <f t="shared" si="47"/>
        <v/>
      </c>
      <c r="BP775" s="531" t="str">
        <f t="shared" si="48"/>
        <v/>
      </c>
      <c r="BQ775" s="531" t="str">
        <f t="shared" si="49"/>
        <v/>
      </c>
      <c r="BR775" s="531" t="str">
        <f t="shared" si="50"/>
        <v/>
      </c>
      <c r="BS775" s="531" t="str">
        <f t="shared" si="51"/>
        <v/>
      </c>
      <c r="BT775" s="531" t="str">
        <f t="shared" si="52"/>
        <v/>
      </c>
      <c r="BU775" s="531" t="str">
        <f t="shared" si="53"/>
        <v/>
      </c>
      <c r="BV775" s="531" t="str">
        <f t="shared" si="54"/>
        <v/>
      </c>
      <c r="BW775" s="531" t="str">
        <f t="shared" si="55"/>
        <v/>
      </c>
      <c r="BX775" s="531" t="str">
        <f t="shared" si="56"/>
        <v/>
      </c>
      <c r="BY775" s="531" t="str">
        <f t="shared" si="57"/>
        <v/>
      </c>
      <c r="BZ775" s="531" t="str">
        <f t="shared" si="58"/>
        <v/>
      </c>
      <c r="CA775" s="531" t="str">
        <f t="shared" si="59"/>
        <v/>
      </c>
      <c r="CB775" s="531" t="str">
        <f t="shared" si="60"/>
        <v/>
      </c>
      <c r="CC775" s="531" t="str">
        <f t="shared" si="61"/>
        <v/>
      </c>
      <c r="CD775" s="531" t="str">
        <f t="shared" si="62"/>
        <v/>
      </c>
      <c r="CE775" s="531" t="str">
        <f t="shared" si="63"/>
        <v/>
      </c>
      <c r="CF775" s="531" t="str">
        <f t="shared" si="64"/>
        <v/>
      </c>
      <c r="CG775" s="531" t="str">
        <f t="shared" si="65"/>
        <v/>
      </c>
      <c r="CH775" s="531" t="str">
        <f t="shared" si="66"/>
        <v/>
      </c>
      <c r="CI775" s="531" t="str">
        <f t="shared" si="67"/>
        <v/>
      </c>
      <c r="CJ775" s="531" t="str">
        <f t="shared" si="68"/>
        <v/>
      </c>
      <c r="CK775" s="531" t="str">
        <f t="shared" si="69"/>
        <v/>
      </c>
      <c r="CL775" s="531" t="str">
        <f t="shared" si="70"/>
        <v/>
      </c>
      <c r="CM775" s="531" t="str">
        <f t="shared" si="71"/>
        <v/>
      </c>
      <c r="CN775" s="531" t="str">
        <f t="shared" si="72"/>
        <v/>
      </c>
      <c r="CO775" s="531" t="str">
        <f t="shared" si="73"/>
        <v/>
      </c>
      <c r="CP775" s="531" t="str">
        <f t="shared" si="74"/>
        <v/>
      </c>
      <c r="CQ775" s="531" t="str">
        <f t="shared" si="75"/>
        <v/>
      </c>
      <c r="CR775" s="531" t="str">
        <f t="shared" si="76"/>
        <v/>
      </c>
      <c r="CS775" s="531" t="str">
        <f t="shared" si="77"/>
        <v/>
      </c>
      <c r="CT775" s="531" t="str">
        <f t="shared" si="78"/>
        <v/>
      </c>
      <c r="CU775" s="531" t="str">
        <f t="shared" si="79"/>
        <v/>
      </c>
      <c r="CV775" s="531" t="str">
        <f t="shared" si="80"/>
        <v/>
      </c>
      <c r="CW775" s="531" t="str">
        <f t="shared" si="81"/>
        <v/>
      </c>
      <c r="CX775" s="531" t="str">
        <f t="shared" si="82"/>
        <v/>
      </c>
      <c r="CY775" s="531" t="str">
        <f t="shared" si="83"/>
        <v/>
      </c>
      <c r="CZ775" s="531" t="str">
        <f t="shared" si="84"/>
        <v/>
      </c>
      <c r="DA775" s="531" t="str">
        <f t="shared" si="85"/>
        <v/>
      </c>
      <c r="DB775" s="531" t="str">
        <f t="shared" si="86"/>
        <v/>
      </c>
      <c r="DC775" s="531" t="str">
        <f t="shared" si="87"/>
        <v/>
      </c>
      <c r="DD775" s="531" t="str">
        <f t="shared" si="88"/>
        <v/>
      </c>
      <c r="DE775" s="531" t="str">
        <f t="shared" si="89"/>
        <v/>
      </c>
      <c r="DF775" s="531" t="str">
        <f t="shared" si="90"/>
        <v/>
      </c>
      <c r="DG775" s="531" t="str">
        <f t="shared" si="91"/>
        <v/>
      </c>
      <c r="DH775" s="531" t="str">
        <f t="shared" si="92"/>
        <v/>
      </c>
      <c r="DI775" s="531" t="str">
        <f t="shared" si="93"/>
        <v/>
      </c>
      <c r="DJ775" s="531" t="str">
        <f t="shared" si="94"/>
        <v/>
      </c>
      <c r="DK775" s="531" t="str">
        <f t="shared" si="95"/>
        <v/>
      </c>
      <c r="DL775" s="531" t="str">
        <f t="shared" si="96"/>
        <v/>
      </c>
      <c r="DM775" s="531" t="str">
        <f t="shared" si="97"/>
        <v/>
      </c>
      <c r="DN775" s="531" t="str">
        <f t="shared" si="98"/>
        <v/>
      </c>
      <c r="DO775" s="531" t="str">
        <f t="shared" si="99"/>
        <v/>
      </c>
      <c r="DP775" s="531" t="str">
        <f t="shared" si="100"/>
        <v/>
      </c>
      <c r="DQ775" s="531" t="str">
        <f t="shared" si="101"/>
        <v/>
      </c>
      <c r="DR775" s="531" t="str">
        <f t="shared" si="102"/>
        <v/>
      </c>
      <c r="DS775" s="531" t="str">
        <f t="shared" si="103"/>
        <v/>
      </c>
      <c r="DT775" s="531" t="str">
        <f t="shared" si="104"/>
        <v/>
      </c>
      <c r="DU775" s="531" t="str">
        <f t="shared" si="105"/>
        <v/>
      </c>
      <c r="DV775" s="531" t="str">
        <f t="shared" si="106"/>
        <v/>
      </c>
      <c r="DW775" s="531" t="str">
        <f t="shared" si="107"/>
        <v/>
      </c>
      <c r="DX775" s="531" t="str">
        <f t="shared" si="108"/>
        <v/>
      </c>
      <c r="DY775" s="531" t="str">
        <f t="shared" si="109"/>
        <v/>
      </c>
      <c r="DZ775" s="531" t="str">
        <f t="shared" si="110"/>
        <v/>
      </c>
      <c r="EA775" s="531" t="str">
        <f t="shared" si="111"/>
        <v/>
      </c>
      <c r="EB775" s="531" t="str">
        <f t="shared" si="112"/>
        <v/>
      </c>
      <c r="EC775" s="531" t="str">
        <f t="shared" si="113"/>
        <v/>
      </c>
      <c r="ED775" s="531" t="str">
        <f t="shared" si="114"/>
        <v/>
      </c>
      <c r="EE775" s="531" t="str">
        <f t="shared" si="115"/>
        <v/>
      </c>
      <c r="EF775" s="531" t="str">
        <f t="shared" si="116"/>
        <v/>
      </c>
      <c r="EG775" s="531" t="str">
        <f t="shared" si="117"/>
        <v/>
      </c>
      <c r="EH775" s="531" t="str">
        <f t="shared" si="118"/>
        <v/>
      </c>
      <c r="EI775" s="531" t="str">
        <f t="shared" si="119"/>
        <v/>
      </c>
      <c r="EJ775" s="531" t="str">
        <f t="shared" si="120"/>
        <v/>
      </c>
      <c r="EK775" s="531" t="str">
        <f t="shared" si="121"/>
        <v/>
      </c>
      <c r="EL775" s="531" t="str">
        <f t="shared" si="122"/>
        <v/>
      </c>
      <c r="EM775" s="531" t="str">
        <f t="shared" si="123"/>
        <v/>
      </c>
      <c r="EN775" s="531" t="str">
        <f t="shared" si="124"/>
        <v/>
      </c>
      <c r="EO775" s="531" t="str">
        <f t="shared" si="125"/>
        <v/>
      </c>
      <c r="EP775" s="531" t="str">
        <f t="shared" si="126"/>
        <v/>
      </c>
      <c r="EQ775" s="531" t="str">
        <f t="shared" si="127"/>
        <v/>
      </c>
      <c r="ER775" s="531" t="str">
        <f t="shared" si="128"/>
        <v/>
      </c>
      <c r="ES775" s="531" t="str">
        <f t="shared" si="129"/>
        <v/>
      </c>
      <c r="ET775" s="531" t="str">
        <f t="shared" si="130"/>
        <v/>
      </c>
      <c r="EU775" s="531" t="str">
        <f t="shared" si="131"/>
        <v/>
      </c>
      <c r="EV775" s="531" t="str">
        <f t="shared" si="132"/>
        <v/>
      </c>
      <c r="EW775" s="1554" t="str">
        <f t="shared" si="133"/>
        <v/>
      </c>
      <c r="EX775" s="1554" t="str">
        <f t="shared" si="134"/>
        <v/>
      </c>
      <c r="EY775" s="1554" t="str">
        <f t="shared" si="135"/>
        <v/>
      </c>
      <c r="EZ775" s="1554" t="str">
        <f t="shared" si="136"/>
        <v/>
      </c>
      <c r="FA775" s="1554" t="str">
        <f t="shared" si="137"/>
        <v/>
      </c>
      <c r="FB775" s="1554" t="str">
        <f t="shared" si="138"/>
        <v/>
      </c>
      <c r="FC775" s="1554" t="str">
        <f t="shared" si="139"/>
        <v/>
      </c>
      <c r="FD775" s="1554" t="str">
        <f t="shared" si="140"/>
        <v/>
      </c>
      <c r="FE775" s="1554" t="str">
        <f t="shared" si="141"/>
        <v/>
      </c>
      <c r="FF775" s="1554" t="str">
        <f t="shared" si="142"/>
        <v/>
      </c>
      <c r="FG775" s="1554" t="str">
        <f t="shared" si="143"/>
        <v/>
      </c>
      <c r="FH775" s="1554" t="str">
        <f t="shared" si="144"/>
        <v/>
      </c>
      <c r="FI775" s="1554" t="str">
        <f t="shared" si="145"/>
        <v/>
      </c>
      <c r="FJ775" s="1554" t="str">
        <f t="shared" si="146"/>
        <v/>
      </c>
      <c r="FK775" s="1554" t="str">
        <f t="shared" si="147"/>
        <v/>
      </c>
      <c r="FL775" s="1554" t="str">
        <f t="shared" si="148"/>
        <v/>
      </c>
      <c r="FM775" s="1554" t="str">
        <f t="shared" si="149"/>
        <v/>
      </c>
      <c r="FN775" s="1554" t="str">
        <f t="shared" si="150"/>
        <v/>
      </c>
      <c r="FO775" s="1554" t="str">
        <f t="shared" si="151"/>
        <v/>
      </c>
      <c r="FP775" s="1554" t="str">
        <f t="shared" si="152"/>
        <v/>
      </c>
      <c r="FQ775" s="1554" t="str">
        <f t="shared" si="153"/>
        <v/>
      </c>
      <c r="FR775" s="1554" t="str">
        <f t="shared" si="154"/>
        <v/>
      </c>
      <c r="FS775" s="1554" t="str">
        <f t="shared" si="155"/>
        <v/>
      </c>
      <c r="FT775" s="1554" t="str">
        <f t="shared" si="156"/>
        <v/>
      </c>
      <c r="FU775" s="1554" t="str">
        <f t="shared" si="157"/>
        <v/>
      </c>
      <c r="FV775" s="1554" t="str">
        <f t="shared" si="158"/>
        <v/>
      </c>
      <c r="FW775" s="1554" t="str">
        <f t="shared" si="159"/>
        <v/>
      </c>
      <c r="FX775" s="1554" t="str">
        <f t="shared" si="160"/>
        <v/>
      </c>
      <c r="FY775" s="1554" t="str">
        <f t="shared" si="161"/>
        <v/>
      </c>
      <c r="FZ775" s="1554" t="str">
        <f t="shared" si="162"/>
        <v/>
      </c>
      <c r="GA775" s="1554" t="str">
        <f t="shared" si="163"/>
        <v/>
      </c>
      <c r="GB775" s="1554" t="str">
        <f t="shared" si="164"/>
        <v/>
      </c>
      <c r="GC775" s="1554" t="str">
        <f t="shared" si="165"/>
        <v/>
      </c>
      <c r="GD775" s="1554" t="str">
        <f t="shared" si="166"/>
        <v/>
      </c>
      <c r="GE775" s="1554" t="str">
        <f t="shared" si="167"/>
        <v/>
      </c>
      <c r="GF775" s="1554" t="str">
        <f t="shared" si="168"/>
        <v/>
      </c>
      <c r="GG775" s="1554" t="str">
        <f t="shared" si="169"/>
        <v/>
      </c>
      <c r="GH775" s="1554" t="str">
        <f t="shared" si="170"/>
        <v/>
      </c>
      <c r="GI775" s="1554" t="str">
        <f t="shared" si="171"/>
        <v/>
      </c>
      <c r="GJ775" s="1554" t="str">
        <f t="shared" si="172"/>
        <v/>
      </c>
      <c r="GK775" s="1554" t="str">
        <f t="shared" si="173"/>
        <v/>
      </c>
      <c r="GL775" s="1554" t="str">
        <f t="shared" si="174"/>
        <v/>
      </c>
      <c r="GM775" s="1554" t="str">
        <f t="shared" si="175"/>
        <v/>
      </c>
      <c r="GN775" s="1554" t="str">
        <f t="shared" si="176"/>
        <v/>
      </c>
      <c r="GO775" s="1554" t="str">
        <f t="shared" si="177"/>
        <v/>
      </c>
      <c r="GP775" s="1554" t="str">
        <f t="shared" si="178"/>
        <v/>
      </c>
      <c r="GQ775" s="1554" t="str">
        <f t="shared" si="179"/>
        <v/>
      </c>
      <c r="GR775" s="1554" t="str">
        <f t="shared" si="180"/>
        <v/>
      </c>
      <c r="GS775" s="1554" t="str">
        <f t="shared" si="181"/>
        <v/>
      </c>
      <c r="GT775" s="1554" t="str">
        <f t="shared" si="182"/>
        <v/>
      </c>
      <c r="GU775" s="1554" t="str">
        <f t="shared" si="183"/>
        <v/>
      </c>
      <c r="GV775" s="1554" t="str">
        <f t="shared" si="184"/>
        <v/>
      </c>
      <c r="GW775" s="1554" t="str">
        <f t="shared" si="185"/>
        <v/>
      </c>
      <c r="GX775" s="1554" t="str">
        <f t="shared" si="186"/>
        <v/>
      </c>
      <c r="GY775" s="1554" t="str">
        <f t="shared" si="187"/>
        <v/>
      </c>
      <c r="GZ775" s="1554" t="str">
        <f t="shared" si="188"/>
        <v/>
      </c>
      <c r="HA775" s="1554" t="str">
        <f t="shared" si="189"/>
        <v/>
      </c>
      <c r="HB775" s="1554" t="str">
        <f t="shared" si="190"/>
        <v/>
      </c>
      <c r="HC775" s="1554" t="str">
        <f t="shared" si="191"/>
        <v/>
      </c>
      <c r="HD775" s="1554" t="str">
        <f t="shared" si="192"/>
        <v/>
      </c>
      <c r="HE775" s="1554" t="str">
        <f t="shared" si="193"/>
        <v/>
      </c>
      <c r="HF775" s="1554" t="str">
        <f t="shared" si="194"/>
        <v/>
      </c>
      <c r="HG775" s="1554" t="str">
        <f t="shared" si="195"/>
        <v/>
      </c>
      <c r="HH775" s="1554" t="str">
        <f t="shared" si="196"/>
        <v/>
      </c>
      <c r="HI775" s="1554" t="str">
        <f t="shared" si="197"/>
        <v/>
      </c>
      <c r="HJ775" s="1554" t="str">
        <f t="shared" si="198"/>
        <v/>
      </c>
      <c r="HK775" s="1554" t="str">
        <f t="shared" si="199"/>
        <v/>
      </c>
      <c r="HL775" s="1554" t="str">
        <f t="shared" si="200"/>
        <v/>
      </c>
      <c r="HM775" s="1554" t="str">
        <f t="shared" si="201"/>
        <v/>
      </c>
      <c r="HN775" s="1554" t="str">
        <f t="shared" si="202"/>
        <v/>
      </c>
      <c r="HO775" s="1554" t="str">
        <f t="shared" si="203"/>
        <v/>
      </c>
      <c r="HP775" s="1554" t="str">
        <f t="shared" si="204"/>
        <v/>
      </c>
      <c r="HQ775" s="1554" t="str">
        <f t="shared" si="205"/>
        <v/>
      </c>
      <c r="HR775" s="1554" t="str">
        <f t="shared" si="206"/>
        <v/>
      </c>
      <c r="HS775" s="1554" t="str">
        <f t="shared" si="207"/>
        <v/>
      </c>
      <c r="HT775" s="1554" t="str">
        <f t="shared" si="208"/>
        <v/>
      </c>
      <c r="HU775" s="1554" t="str">
        <f t="shared" si="209"/>
        <v/>
      </c>
      <c r="HV775" s="1554" t="str">
        <f t="shared" si="210"/>
        <v/>
      </c>
      <c r="HW775" s="1554" t="str">
        <f t="shared" si="211"/>
        <v/>
      </c>
      <c r="HX775" s="1554" t="str">
        <f t="shared" si="212"/>
        <v/>
      </c>
      <c r="HY775" s="1554" t="str">
        <f t="shared" si="213"/>
        <v/>
      </c>
      <c r="HZ775" s="1554" t="str">
        <f t="shared" si="214"/>
        <v/>
      </c>
      <c r="IA775" s="1554" t="str">
        <f t="shared" si="215"/>
        <v/>
      </c>
      <c r="IB775" s="1554" t="str">
        <f t="shared" si="216"/>
        <v/>
      </c>
      <c r="IC775" s="1554" t="str">
        <f t="shared" si="217"/>
        <v/>
      </c>
      <c r="ID775" s="31" t="str">
        <f t="shared" si="218"/>
        <v/>
      </c>
      <c r="IE775" s="31" t="str">
        <f t="shared" si="219"/>
        <v/>
      </c>
      <c r="IF775" s="31" t="str">
        <f t="shared" si="220"/>
        <v/>
      </c>
      <c r="IG775" s="31" t="str">
        <f t="shared" si="221"/>
        <v/>
      </c>
      <c r="IH775" s="31" t="str">
        <f t="shared" si="222"/>
        <v/>
      </c>
      <c r="II775" s="531" t="str">
        <f t="shared" si="223"/>
        <v/>
      </c>
      <c r="IJ775" s="531" t="str">
        <f t="shared" si="224"/>
        <v/>
      </c>
      <c r="IK775" s="531" t="str">
        <f t="shared" si="225"/>
        <v/>
      </c>
      <c r="IL775" s="531" t="str">
        <f t="shared" si="226"/>
        <v/>
      </c>
      <c r="IM775" s="531" t="str">
        <f t="shared" si="227"/>
        <v/>
      </c>
      <c r="IN775" s="531" t="str">
        <f t="shared" si="228"/>
        <v/>
      </c>
      <c r="IO775" s="531" t="str">
        <f t="shared" si="229"/>
        <v/>
      </c>
      <c r="IP775" s="531" t="str">
        <f t="shared" si="230"/>
        <v/>
      </c>
      <c r="IQ775" s="531" t="str">
        <f t="shared" si="231"/>
        <v/>
      </c>
      <c r="IR775" s="531" t="str">
        <f t="shared" si="232"/>
        <v/>
      </c>
      <c r="IS775" s="531" t="str">
        <f t="shared" si="233"/>
        <v/>
      </c>
      <c r="IT775" s="531" t="str">
        <f t="shared" si="234"/>
        <v/>
      </c>
      <c r="IU775" s="531" t="str">
        <f t="shared" si="235"/>
        <v/>
      </c>
      <c r="IV775" s="531" t="str">
        <f t="shared" si="236"/>
        <v/>
      </c>
      <c r="IW775" s="531" t="str">
        <f t="shared" si="237"/>
        <v/>
      </c>
      <c r="IX775" s="531" t="str">
        <f t="shared" si="238"/>
        <v/>
      </c>
      <c r="IY775" s="531" t="str">
        <f t="shared" si="239"/>
        <v/>
      </c>
      <c r="IZ775" s="531" t="str">
        <f t="shared" si="240"/>
        <v/>
      </c>
      <c r="JA775" s="531" t="str">
        <f t="shared" si="241"/>
        <v/>
      </c>
      <c r="JB775" s="531" t="str">
        <f t="shared" si="242"/>
        <v/>
      </c>
      <c r="JC775" s="615">
        <f t="shared" si="243"/>
        <v>0</v>
      </c>
      <c r="JD775" s="615">
        <f t="shared" si="244"/>
        <v>0</v>
      </c>
      <c r="JE775" s="615">
        <f t="shared" si="245"/>
        <v>0</v>
      </c>
      <c r="JF775" s="615">
        <f t="shared" si="246"/>
        <v>0</v>
      </c>
      <c r="JG775" s="615">
        <f t="shared" si="247"/>
        <v>0</v>
      </c>
      <c r="JH775" s="615">
        <f t="shared" si="248"/>
        <v>0</v>
      </c>
      <c r="JI775" s="615">
        <f t="shared" si="249"/>
        <v>0</v>
      </c>
      <c r="JJ775" s="615">
        <f t="shared" si="250"/>
        <v>0</v>
      </c>
      <c r="JK775" s="615">
        <f t="shared" si="251"/>
        <v>0</v>
      </c>
      <c r="JL775" s="615">
        <f t="shared" si="252"/>
        <v>0</v>
      </c>
      <c r="JM775" s="615">
        <f t="shared" si="253"/>
        <v>0</v>
      </c>
      <c r="JN775" s="615">
        <f t="shared" si="254"/>
        <v>0</v>
      </c>
      <c r="JO775" s="615">
        <f t="shared" si="255"/>
        <v>0</v>
      </c>
      <c r="JP775" s="615">
        <f t="shared" si="256"/>
        <v>0</v>
      </c>
      <c r="JQ775" s="615">
        <f t="shared" si="257"/>
        <v>0</v>
      </c>
    </row>
    <row r="776" spans="1:277" ht="12" customHeight="1">
      <c r="A776" s="1190" t="str">
        <f t="shared" si="0"/>
        <v/>
      </c>
      <c r="B776" s="1545" t="str">
        <f>'Part VI-Revenues &amp; Expenses'!B33</f>
        <v>&lt;&lt;Select&gt;&gt;</v>
      </c>
      <c r="C776" s="1546">
        <f>'Part VI-Revenues &amp; Expenses'!C33</f>
        <v>0</v>
      </c>
      <c r="D776" s="1547">
        <f>'Part VI-Revenues &amp; Expenses'!D33</f>
        <v>0</v>
      </c>
      <c r="E776" s="1548">
        <f>'Part VI-Revenues &amp; Expenses'!E33</f>
        <v>0</v>
      </c>
      <c r="F776" s="1548">
        <f>'Part VI-Revenues &amp; Expenses'!F33</f>
        <v>0</v>
      </c>
      <c r="G776" s="1548">
        <f>'Part VI-Revenues &amp; Expenses'!G33</f>
        <v>0</v>
      </c>
      <c r="H776" s="1548">
        <f>'Part VI-Revenues &amp; Expenses'!H33</f>
        <v>0</v>
      </c>
      <c r="I776" s="1548">
        <f>'Part VI-Revenues &amp; Expenses'!I33</f>
        <v>0</v>
      </c>
      <c r="J776" s="1549">
        <f>'Part VI-Revenues &amp; Expenses'!J33</f>
        <v>0</v>
      </c>
      <c r="K776" s="1550">
        <f t="shared" si="1"/>
        <v>0</v>
      </c>
      <c r="L776" s="1550">
        <f t="shared" si="2"/>
        <v>0</v>
      </c>
      <c r="M776" s="1551">
        <f>'Part VI-Revenues &amp; Expenses'!M33</f>
        <v>0</v>
      </c>
      <c r="N776" s="1551">
        <f>'Part VI-Revenues &amp; Expenses'!N33</f>
        <v>0</v>
      </c>
      <c r="O776" s="1551">
        <f>'Part VI-Revenues &amp; Expenses'!O33</f>
        <v>0</v>
      </c>
      <c r="P776" s="1406">
        <f>'Part VI-Revenues &amp; Expenses'!P33</f>
        <v>0</v>
      </c>
      <c r="Q776" s="1552" t="str">
        <f>'Part VI-Revenues &amp; Expenses'!Q33</f>
        <v/>
      </c>
      <c r="R776" s="1553" t="str">
        <f>'Part VI-Revenues &amp; Expenses'!R33</f>
        <v/>
      </c>
      <c r="S776" s="1552">
        <f>'Part VI-Revenues &amp; Expenses'!S33</f>
        <v>0</v>
      </c>
      <c r="T776" s="1553">
        <f>'Part VI-Revenues &amp; Expenses'!T33</f>
        <v>0</v>
      </c>
      <c r="U776" s="1477"/>
      <c r="V776" s="1477"/>
      <c r="W776" s="531" t="str">
        <f t="shared" si="3"/>
        <v/>
      </c>
      <c r="X776" s="531" t="str">
        <f t="shared" si="4"/>
        <v/>
      </c>
      <c r="Y776" s="531" t="str">
        <f t="shared" si="5"/>
        <v/>
      </c>
      <c r="Z776" s="531" t="str">
        <f t="shared" si="6"/>
        <v/>
      </c>
      <c r="AA776" s="531" t="str">
        <f t="shared" si="7"/>
        <v/>
      </c>
      <c r="AB776" s="531" t="str">
        <f t="shared" si="8"/>
        <v/>
      </c>
      <c r="AC776" s="531" t="str">
        <f t="shared" si="9"/>
        <v/>
      </c>
      <c r="AD776" s="531" t="str">
        <f t="shared" si="10"/>
        <v/>
      </c>
      <c r="AE776" s="531" t="str">
        <f t="shared" si="11"/>
        <v/>
      </c>
      <c r="AF776" s="531" t="str">
        <f t="shared" si="12"/>
        <v/>
      </c>
      <c r="AG776" s="531" t="str">
        <f t="shared" si="13"/>
        <v/>
      </c>
      <c r="AH776" s="531" t="str">
        <f t="shared" si="14"/>
        <v/>
      </c>
      <c r="AI776" s="531" t="str">
        <f t="shared" si="15"/>
        <v/>
      </c>
      <c r="AJ776" s="531" t="str">
        <f t="shared" si="16"/>
        <v/>
      </c>
      <c r="AK776" s="531" t="str">
        <f t="shared" si="17"/>
        <v/>
      </c>
      <c r="AL776" s="531" t="str">
        <f t="shared" si="18"/>
        <v/>
      </c>
      <c r="AM776" s="531" t="str">
        <f t="shared" si="19"/>
        <v/>
      </c>
      <c r="AN776" s="531" t="str">
        <f t="shared" si="20"/>
        <v/>
      </c>
      <c r="AO776" s="531" t="str">
        <f t="shared" si="21"/>
        <v/>
      </c>
      <c r="AP776" s="531" t="str">
        <f t="shared" si="22"/>
        <v/>
      </c>
      <c r="AQ776" s="531" t="str">
        <f t="shared" si="23"/>
        <v/>
      </c>
      <c r="AR776" s="531" t="str">
        <f t="shared" si="24"/>
        <v/>
      </c>
      <c r="AS776" s="531" t="str">
        <f t="shared" si="25"/>
        <v/>
      </c>
      <c r="AT776" s="531" t="str">
        <f t="shared" si="26"/>
        <v/>
      </c>
      <c r="AU776" s="531" t="str">
        <f t="shared" si="27"/>
        <v/>
      </c>
      <c r="AV776" s="531" t="str">
        <f t="shared" si="28"/>
        <v/>
      </c>
      <c r="AW776" s="531" t="str">
        <f t="shared" si="29"/>
        <v/>
      </c>
      <c r="AX776" s="531" t="str">
        <f t="shared" si="30"/>
        <v/>
      </c>
      <c r="AY776" s="531" t="str">
        <f t="shared" si="31"/>
        <v/>
      </c>
      <c r="AZ776" s="531" t="str">
        <f t="shared" si="32"/>
        <v/>
      </c>
      <c r="BA776" s="531" t="str">
        <f t="shared" si="33"/>
        <v/>
      </c>
      <c r="BB776" s="531" t="str">
        <f t="shared" si="34"/>
        <v/>
      </c>
      <c r="BC776" s="531" t="str">
        <f t="shared" si="35"/>
        <v/>
      </c>
      <c r="BD776" s="531" t="str">
        <f t="shared" si="36"/>
        <v/>
      </c>
      <c r="BE776" s="531" t="str">
        <f t="shared" si="37"/>
        <v/>
      </c>
      <c r="BF776" s="531" t="str">
        <f t="shared" si="38"/>
        <v/>
      </c>
      <c r="BG776" s="531" t="str">
        <f t="shared" si="39"/>
        <v/>
      </c>
      <c r="BH776" s="531" t="str">
        <f t="shared" si="40"/>
        <v/>
      </c>
      <c r="BI776" s="531" t="str">
        <f t="shared" si="41"/>
        <v/>
      </c>
      <c r="BJ776" s="531" t="str">
        <f t="shared" si="42"/>
        <v/>
      </c>
      <c r="BK776" s="531" t="str">
        <f t="shared" si="43"/>
        <v/>
      </c>
      <c r="BL776" s="531" t="str">
        <f t="shared" si="44"/>
        <v/>
      </c>
      <c r="BM776" s="531" t="str">
        <f t="shared" si="45"/>
        <v/>
      </c>
      <c r="BN776" s="531" t="str">
        <f t="shared" si="46"/>
        <v/>
      </c>
      <c r="BO776" s="531" t="str">
        <f t="shared" si="47"/>
        <v/>
      </c>
      <c r="BP776" s="531" t="str">
        <f t="shared" si="48"/>
        <v/>
      </c>
      <c r="BQ776" s="531" t="str">
        <f t="shared" si="49"/>
        <v/>
      </c>
      <c r="BR776" s="531" t="str">
        <f t="shared" si="50"/>
        <v/>
      </c>
      <c r="BS776" s="531" t="str">
        <f t="shared" si="51"/>
        <v/>
      </c>
      <c r="BT776" s="531" t="str">
        <f t="shared" si="52"/>
        <v/>
      </c>
      <c r="BU776" s="531" t="str">
        <f t="shared" si="53"/>
        <v/>
      </c>
      <c r="BV776" s="531" t="str">
        <f t="shared" si="54"/>
        <v/>
      </c>
      <c r="BW776" s="531" t="str">
        <f t="shared" si="55"/>
        <v/>
      </c>
      <c r="BX776" s="531" t="str">
        <f t="shared" si="56"/>
        <v/>
      </c>
      <c r="BY776" s="531" t="str">
        <f t="shared" si="57"/>
        <v/>
      </c>
      <c r="BZ776" s="531" t="str">
        <f t="shared" si="58"/>
        <v/>
      </c>
      <c r="CA776" s="531" t="str">
        <f t="shared" si="59"/>
        <v/>
      </c>
      <c r="CB776" s="531" t="str">
        <f t="shared" si="60"/>
        <v/>
      </c>
      <c r="CC776" s="531" t="str">
        <f t="shared" si="61"/>
        <v/>
      </c>
      <c r="CD776" s="531" t="str">
        <f t="shared" si="62"/>
        <v/>
      </c>
      <c r="CE776" s="531" t="str">
        <f t="shared" si="63"/>
        <v/>
      </c>
      <c r="CF776" s="531" t="str">
        <f t="shared" si="64"/>
        <v/>
      </c>
      <c r="CG776" s="531" t="str">
        <f t="shared" si="65"/>
        <v/>
      </c>
      <c r="CH776" s="531" t="str">
        <f t="shared" si="66"/>
        <v/>
      </c>
      <c r="CI776" s="531" t="str">
        <f t="shared" si="67"/>
        <v/>
      </c>
      <c r="CJ776" s="531" t="str">
        <f t="shared" si="68"/>
        <v/>
      </c>
      <c r="CK776" s="531" t="str">
        <f t="shared" si="69"/>
        <v/>
      </c>
      <c r="CL776" s="531" t="str">
        <f t="shared" si="70"/>
        <v/>
      </c>
      <c r="CM776" s="531" t="str">
        <f t="shared" si="71"/>
        <v/>
      </c>
      <c r="CN776" s="531" t="str">
        <f t="shared" si="72"/>
        <v/>
      </c>
      <c r="CO776" s="531" t="str">
        <f t="shared" si="73"/>
        <v/>
      </c>
      <c r="CP776" s="531" t="str">
        <f t="shared" si="74"/>
        <v/>
      </c>
      <c r="CQ776" s="531" t="str">
        <f t="shared" si="75"/>
        <v/>
      </c>
      <c r="CR776" s="531" t="str">
        <f t="shared" si="76"/>
        <v/>
      </c>
      <c r="CS776" s="531" t="str">
        <f t="shared" si="77"/>
        <v/>
      </c>
      <c r="CT776" s="531" t="str">
        <f t="shared" si="78"/>
        <v/>
      </c>
      <c r="CU776" s="531" t="str">
        <f t="shared" si="79"/>
        <v/>
      </c>
      <c r="CV776" s="531" t="str">
        <f t="shared" si="80"/>
        <v/>
      </c>
      <c r="CW776" s="531" t="str">
        <f t="shared" si="81"/>
        <v/>
      </c>
      <c r="CX776" s="531" t="str">
        <f t="shared" si="82"/>
        <v/>
      </c>
      <c r="CY776" s="531" t="str">
        <f t="shared" si="83"/>
        <v/>
      </c>
      <c r="CZ776" s="531" t="str">
        <f t="shared" si="84"/>
        <v/>
      </c>
      <c r="DA776" s="531" t="str">
        <f t="shared" si="85"/>
        <v/>
      </c>
      <c r="DB776" s="531" t="str">
        <f t="shared" si="86"/>
        <v/>
      </c>
      <c r="DC776" s="531" t="str">
        <f t="shared" si="87"/>
        <v/>
      </c>
      <c r="DD776" s="531" t="str">
        <f t="shared" si="88"/>
        <v/>
      </c>
      <c r="DE776" s="531" t="str">
        <f t="shared" si="89"/>
        <v/>
      </c>
      <c r="DF776" s="531" t="str">
        <f t="shared" si="90"/>
        <v/>
      </c>
      <c r="DG776" s="531" t="str">
        <f t="shared" si="91"/>
        <v/>
      </c>
      <c r="DH776" s="531" t="str">
        <f t="shared" si="92"/>
        <v/>
      </c>
      <c r="DI776" s="531" t="str">
        <f t="shared" si="93"/>
        <v/>
      </c>
      <c r="DJ776" s="531" t="str">
        <f t="shared" si="94"/>
        <v/>
      </c>
      <c r="DK776" s="531" t="str">
        <f t="shared" si="95"/>
        <v/>
      </c>
      <c r="DL776" s="531" t="str">
        <f t="shared" si="96"/>
        <v/>
      </c>
      <c r="DM776" s="531" t="str">
        <f t="shared" si="97"/>
        <v/>
      </c>
      <c r="DN776" s="531" t="str">
        <f t="shared" si="98"/>
        <v/>
      </c>
      <c r="DO776" s="531" t="str">
        <f t="shared" si="99"/>
        <v/>
      </c>
      <c r="DP776" s="531" t="str">
        <f t="shared" si="100"/>
        <v/>
      </c>
      <c r="DQ776" s="531" t="str">
        <f t="shared" si="101"/>
        <v/>
      </c>
      <c r="DR776" s="531" t="str">
        <f t="shared" si="102"/>
        <v/>
      </c>
      <c r="DS776" s="531" t="str">
        <f t="shared" si="103"/>
        <v/>
      </c>
      <c r="DT776" s="531" t="str">
        <f t="shared" si="104"/>
        <v/>
      </c>
      <c r="DU776" s="531" t="str">
        <f t="shared" si="105"/>
        <v/>
      </c>
      <c r="DV776" s="531" t="str">
        <f t="shared" si="106"/>
        <v/>
      </c>
      <c r="DW776" s="531" t="str">
        <f t="shared" si="107"/>
        <v/>
      </c>
      <c r="DX776" s="531" t="str">
        <f t="shared" si="108"/>
        <v/>
      </c>
      <c r="DY776" s="531" t="str">
        <f t="shared" si="109"/>
        <v/>
      </c>
      <c r="DZ776" s="531" t="str">
        <f t="shared" si="110"/>
        <v/>
      </c>
      <c r="EA776" s="531" t="str">
        <f t="shared" si="111"/>
        <v/>
      </c>
      <c r="EB776" s="531" t="str">
        <f t="shared" si="112"/>
        <v/>
      </c>
      <c r="EC776" s="531" t="str">
        <f t="shared" si="113"/>
        <v/>
      </c>
      <c r="ED776" s="531" t="str">
        <f t="shared" si="114"/>
        <v/>
      </c>
      <c r="EE776" s="531" t="str">
        <f t="shared" si="115"/>
        <v/>
      </c>
      <c r="EF776" s="531" t="str">
        <f t="shared" si="116"/>
        <v/>
      </c>
      <c r="EG776" s="531" t="str">
        <f t="shared" si="117"/>
        <v/>
      </c>
      <c r="EH776" s="531" t="str">
        <f t="shared" si="118"/>
        <v/>
      </c>
      <c r="EI776" s="531" t="str">
        <f t="shared" si="119"/>
        <v/>
      </c>
      <c r="EJ776" s="531" t="str">
        <f t="shared" si="120"/>
        <v/>
      </c>
      <c r="EK776" s="531" t="str">
        <f t="shared" si="121"/>
        <v/>
      </c>
      <c r="EL776" s="531" t="str">
        <f t="shared" si="122"/>
        <v/>
      </c>
      <c r="EM776" s="531" t="str">
        <f t="shared" si="123"/>
        <v/>
      </c>
      <c r="EN776" s="531" t="str">
        <f t="shared" si="124"/>
        <v/>
      </c>
      <c r="EO776" s="531" t="str">
        <f t="shared" si="125"/>
        <v/>
      </c>
      <c r="EP776" s="531" t="str">
        <f t="shared" si="126"/>
        <v/>
      </c>
      <c r="EQ776" s="531" t="str">
        <f t="shared" si="127"/>
        <v/>
      </c>
      <c r="ER776" s="531" t="str">
        <f t="shared" si="128"/>
        <v/>
      </c>
      <c r="ES776" s="531" t="str">
        <f t="shared" si="129"/>
        <v/>
      </c>
      <c r="ET776" s="531" t="str">
        <f t="shared" si="130"/>
        <v/>
      </c>
      <c r="EU776" s="531" t="str">
        <f t="shared" si="131"/>
        <v/>
      </c>
      <c r="EV776" s="531" t="str">
        <f t="shared" si="132"/>
        <v/>
      </c>
      <c r="EW776" s="1554" t="str">
        <f t="shared" si="133"/>
        <v/>
      </c>
      <c r="EX776" s="1554" t="str">
        <f t="shared" si="134"/>
        <v/>
      </c>
      <c r="EY776" s="1554" t="str">
        <f t="shared" si="135"/>
        <v/>
      </c>
      <c r="EZ776" s="1554" t="str">
        <f t="shared" si="136"/>
        <v/>
      </c>
      <c r="FA776" s="1554" t="str">
        <f t="shared" si="137"/>
        <v/>
      </c>
      <c r="FB776" s="1554" t="str">
        <f t="shared" si="138"/>
        <v/>
      </c>
      <c r="FC776" s="1554" t="str">
        <f t="shared" si="139"/>
        <v/>
      </c>
      <c r="FD776" s="1554" t="str">
        <f t="shared" si="140"/>
        <v/>
      </c>
      <c r="FE776" s="1554" t="str">
        <f t="shared" si="141"/>
        <v/>
      </c>
      <c r="FF776" s="1554" t="str">
        <f t="shared" si="142"/>
        <v/>
      </c>
      <c r="FG776" s="1554" t="str">
        <f t="shared" si="143"/>
        <v/>
      </c>
      <c r="FH776" s="1554" t="str">
        <f t="shared" si="144"/>
        <v/>
      </c>
      <c r="FI776" s="1554" t="str">
        <f t="shared" si="145"/>
        <v/>
      </c>
      <c r="FJ776" s="1554" t="str">
        <f t="shared" si="146"/>
        <v/>
      </c>
      <c r="FK776" s="1554" t="str">
        <f t="shared" si="147"/>
        <v/>
      </c>
      <c r="FL776" s="1554" t="str">
        <f t="shared" si="148"/>
        <v/>
      </c>
      <c r="FM776" s="1554" t="str">
        <f t="shared" si="149"/>
        <v/>
      </c>
      <c r="FN776" s="1554" t="str">
        <f t="shared" si="150"/>
        <v/>
      </c>
      <c r="FO776" s="1554" t="str">
        <f t="shared" si="151"/>
        <v/>
      </c>
      <c r="FP776" s="1554" t="str">
        <f t="shared" si="152"/>
        <v/>
      </c>
      <c r="FQ776" s="1554" t="str">
        <f t="shared" si="153"/>
        <v/>
      </c>
      <c r="FR776" s="1554" t="str">
        <f t="shared" si="154"/>
        <v/>
      </c>
      <c r="FS776" s="1554" t="str">
        <f t="shared" si="155"/>
        <v/>
      </c>
      <c r="FT776" s="1554" t="str">
        <f t="shared" si="156"/>
        <v/>
      </c>
      <c r="FU776" s="1554" t="str">
        <f t="shared" si="157"/>
        <v/>
      </c>
      <c r="FV776" s="1554" t="str">
        <f t="shared" si="158"/>
        <v/>
      </c>
      <c r="FW776" s="1554" t="str">
        <f t="shared" si="159"/>
        <v/>
      </c>
      <c r="FX776" s="1554" t="str">
        <f t="shared" si="160"/>
        <v/>
      </c>
      <c r="FY776" s="1554" t="str">
        <f t="shared" si="161"/>
        <v/>
      </c>
      <c r="FZ776" s="1554" t="str">
        <f t="shared" si="162"/>
        <v/>
      </c>
      <c r="GA776" s="1554" t="str">
        <f t="shared" si="163"/>
        <v/>
      </c>
      <c r="GB776" s="1554" t="str">
        <f t="shared" si="164"/>
        <v/>
      </c>
      <c r="GC776" s="1554" t="str">
        <f t="shared" si="165"/>
        <v/>
      </c>
      <c r="GD776" s="1554" t="str">
        <f t="shared" si="166"/>
        <v/>
      </c>
      <c r="GE776" s="1554" t="str">
        <f t="shared" si="167"/>
        <v/>
      </c>
      <c r="GF776" s="1554" t="str">
        <f t="shared" si="168"/>
        <v/>
      </c>
      <c r="GG776" s="1554" t="str">
        <f t="shared" si="169"/>
        <v/>
      </c>
      <c r="GH776" s="1554" t="str">
        <f t="shared" si="170"/>
        <v/>
      </c>
      <c r="GI776" s="1554" t="str">
        <f t="shared" si="171"/>
        <v/>
      </c>
      <c r="GJ776" s="1554" t="str">
        <f t="shared" si="172"/>
        <v/>
      </c>
      <c r="GK776" s="1554" t="str">
        <f t="shared" si="173"/>
        <v/>
      </c>
      <c r="GL776" s="1554" t="str">
        <f t="shared" si="174"/>
        <v/>
      </c>
      <c r="GM776" s="1554" t="str">
        <f t="shared" si="175"/>
        <v/>
      </c>
      <c r="GN776" s="1554" t="str">
        <f t="shared" si="176"/>
        <v/>
      </c>
      <c r="GO776" s="1554" t="str">
        <f t="shared" si="177"/>
        <v/>
      </c>
      <c r="GP776" s="1554" t="str">
        <f t="shared" si="178"/>
        <v/>
      </c>
      <c r="GQ776" s="1554" t="str">
        <f t="shared" si="179"/>
        <v/>
      </c>
      <c r="GR776" s="1554" t="str">
        <f t="shared" si="180"/>
        <v/>
      </c>
      <c r="GS776" s="1554" t="str">
        <f t="shared" si="181"/>
        <v/>
      </c>
      <c r="GT776" s="1554" t="str">
        <f t="shared" si="182"/>
        <v/>
      </c>
      <c r="GU776" s="1554" t="str">
        <f t="shared" si="183"/>
        <v/>
      </c>
      <c r="GV776" s="1554" t="str">
        <f t="shared" si="184"/>
        <v/>
      </c>
      <c r="GW776" s="1554" t="str">
        <f t="shared" si="185"/>
        <v/>
      </c>
      <c r="GX776" s="1554" t="str">
        <f t="shared" si="186"/>
        <v/>
      </c>
      <c r="GY776" s="1554" t="str">
        <f t="shared" si="187"/>
        <v/>
      </c>
      <c r="GZ776" s="1554" t="str">
        <f t="shared" si="188"/>
        <v/>
      </c>
      <c r="HA776" s="1554" t="str">
        <f t="shared" si="189"/>
        <v/>
      </c>
      <c r="HB776" s="1554" t="str">
        <f t="shared" si="190"/>
        <v/>
      </c>
      <c r="HC776" s="1554" t="str">
        <f t="shared" si="191"/>
        <v/>
      </c>
      <c r="HD776" s="1554" t="str">
        <f t="shared" si="192"/>
        <v/>
      </c>
      <c r="HE776" s="1554" t="str">
        <f t="shared" si="193"/>
        <v/>
      </c>
      <c r="HF776" s="1554" t="str">
        <f t="shared" si="194"/>
        <v/>
      </c>
      <c r="HG776" s="1554" t="str">
        <f t="shared" si="195"/>
        <v/>
      </c>
      <c r="HH776" s="1554" t="str">
        <f t="shared" si="196"/>
        <v/>
      </c>
      <c r="HI776" s="1554" t="str">
        <f t="shared" si="197"/>
        <v/>
      </c>
      <c r="HJ776" s="1554" t="str">
        <f t="shared" si="198"/>
        <v/>
      </c>
      <c r="HK776" s="1554" t="str">
        <f t="shared" si="199"/>
        <v/>
      </c>
      <c r="HL776" s="1554" t="str">
        <f t="shared" si="200"/>
        <v/>
      </c>
      <c r="HM776" s="1554" t="str">
        <f t="shared" si="201"/>
        <v/>
      </c>
      <c r="HN776" s="1554" t="str">
        <f t="shared" si="202"/>
        <v/>
      </c>
      <c r="HO776" s="1554" t="str">
        <f t="shared" si="203"/>
        <v/>
      </c>
      <c r="HP776" s="1554" t="str">
        <f t="shared" si="204"/>
        <v/>
      </c>
      <c r="HQ776" s="1554" t="str">
        <f t="shared" si="205"/>
        <v/>
      </c>
      <c r="HR776" s="1554" t="str">
        <f t="shared" si="206"/>
        <v/>
      </c>
      <c r="HS776" s="1554" t="str">
        <f t="shared" si="207"/>
        <v/>
      </c>
      <c r="HT776" s="1554" t="str">
        <f t="shared" si="208"/>
        <v/>
      </c>
      <c r="HU776" s="1554" t="str">
        <f t="shared" si="209"/>
        <v/>
      </c>
      <c r="HV776" s="1554" t="str">
        <f t="shared" si="210"/>
        <v/>
      </c>
      <c r="HW776" s="1554" t="str">
        <f t="shared" si="211"/>
        <v/>
      </c>
      <c r="HX776" s="1554" t="str">
        <f t="shared" si="212"/>
        <v/>
      </c>
      <c r="HY776" s="1554" t="str">
        <f t="shared" si="213"/>
        <v/>
      </c>
      <c r="HZ776" s="1554" t="str">
        <f t="shared" si="214"/>
        <v/>
      </c>
      <c r="IA776" s="1554" t="str">
        <f t="shared" si="215"/>
        <v/>
      </c>
      <c r="IB776" s="1554" t="str">
        <f t="shared" si="216"/>
        <v/>
      </c>
      <c r="IC776" s="1554" t="str">
        <f t="shared" si="217"/>
        <v/>
      </c>
      <c r="ID776" s="31" t="str">
        <f t="shared" si="218"/>
        <v/>
      </c>
      <c r="IE776" s="31" t="str">
        <f t="shared" si="219"/>
        <v/>
      </c>
      <c r="IF776" s="31" t="str">
        <f t="shared" si="220"/>
        <v/>
      </c>
      <c r="IG776" s="31" t="str">
        <f t="shared" si="221"/>
        <v/>
      </c>
      <c r="IH776" s="31" t="str">
        <f t="shared" si="222"/>
        <v/>
      </c>
      <c r="II776" s="531" t="str">
        <f t="shared" si="223"/>
        <v/>
      </c>
      <c r="IJ776" s="531" t="str">
        <f t="shared" si="224"/>
        <v/>
      </c>
      <c r="IK776" s="531" t="str">
        <f t="shared" si="225"/>
        <v/>
      </c>
      <c r="IL776" s="531" t="str">
        <f t="shared" si="226"/>
        <v/>
      </c>
      <c r="IM776" s="531" t="str">
        <f t="shared" si="227"/>
        <v/>
      </c>
      <c r="IN776" s="531" t="str">
        <f t="shared" si="228"/>
        <v/>
      </c>
      <c r="IO776" s="531" t="str">
        <f t="shared" si="229"/>
        <v/>
      </c>
      <c r="IP776" s="531" t="str">
        <f t="shared" si="230"/>
        <v/>
      </c>
      <c r="IQ776" s="531" t="str">
        <f t="shared" si="231"/>
        <v/>
      </c>
      <c r="IR776" s="531" t="str">
        <f t="shared" si="232"/>
        <v/>
      </c>
      <c r="IS776" s="531" t="str">
        <f t="shared" si="233"/>
        <v/>
      </c>
      <c r="IT776" s="531" t="str">
        <f t="shared" si="234"/>
        <v/>
      </c>
      <c r="IU776" s="531" t="str">
        <f t="shared" si="235"/>
        <v/>
      </c>
      <c r="IV776" s="531" t="str">
        <f t="shared" si="236"/>
        <v/>
      </c>
      <c r="IW776" s="531" t="str">
        <f t="shared" si="237"/>
        <v/>
      </c>
      <c r="IX776" s="531" t="str">
        <f t="shared" si="238"/>
        <v/>
      </c>
      <c r="IY776" s="531" t="str">
        <f t="shared" si="239"/>
        <v/>
      </c>
      <c r="IZ776" s="531" t="str">
        <f t="shared" si="240"/>
        <v/>
      </c>
      <c r="JA776" s="531" t="str">
        <f t="shared" si="241"/>
        <v/>
      </c>
      <c r="JB776" s="531" t="str">
        <f t="shared" si="242"/>
        <v/>
      </c>
      <c r="JC776" s="615">
        <f t="shared" si="243"/>
        <v>0</v>
      </c>
      <c r="JD776" s="615">
        <f t="shared" si="244"/>
        <v>0</v>
      </c>
      <c r="JE776" s="615">
        <f t="shared" si="245"/>
        <v>0</v>
      </c>
      <c r="JF776" s="615">
        <f t="shared" si="246"/>
        <v>0</v>
      </c>
      <c r="JG776" s="615">
        <f t="shared" si="247"/>
        <v>0</v>
      </c>
      <c r="JH776" s="615">
        <f t="shared" si="248"/>
        <v>0</v>
      </c>
      <c r="JI776" s="615">
        <f t="shared" si="249"/>
        <v>0</v>
      </c>
      <c r="JJ776" s="615">
        <f t="shared" si="250"/>
        <v>0</v>
      </c>
      <c r="JK776" s="615">
        <f t="shared" si="251"/>
        <v>0</v>
      </c>
      <c r="JL776" s="615">
        <f t="shared" si="252"/>
        <v>0</v>
      </c>
      <c r="JM776" s="615">
        <f t="shared" si="253"/>
        <v>0</v>
      </c>
      <c r="JN776" s="615">
        <f t="shared" si="254"/>
        <v>0</v>
      </c>
      <c r="JO776" s="615">
        <f t="shared" si="255"/>
        <v>0</v>
      </c>
      <c r="JP776" s="615">
        <f t="shared" si="256"/>
        <v>0</v>
      </c>
      <c r="JQ776" s="615">
        <f t="shared" si="257"/>
        <v>0</v>
      </c>
    </row>
    <row r="777" spans="1:277" ht="12" customHeight="1">
      <c r="A777" s="1190" t="str">
        <f t="shared" si="0"/>
        <v/>
      </c>
      <c r="B777" s="1545" t="str">
        <f>'Part VI-Revenues &amp; Expenses'!B34</f>
        <v>&lt;&lt;Select&gt;&gt;</v>
      </c>
      <c r="C777" s="1546">
        <f>'Part VI-Revenues &amp; Expenses'!C34</f>
        <v>0</v>
      </c>
      <c r="D777" s="1547">
        <f>'Part VI-Revenues &amp; Expenses'!D34</f>
        <v>0</v>
      </c>
      <c r="E777" s="1548">
        <f>'Part VI-Revenues &amp; Expenses'!E34</f>
        <v>0</v>
      </c>
      <c r="F777" s="1548">
        <f>'Part VI-Revenues &amp; Expenses'!F34</f>
        <v>0</v>
      </c>
      <c r="G777" s="1548">
        <f>'Part VI-Revenues &amp; Expenses'!G34</f>
        <v>0</v>
      </c>
      <c r="H777" s="1548">
        <f>'Part VI-Revenues &amp; Expenses'!H34</f>
        <v>0</v>
      </c>
      <c r="I777" s="1548">
        <f>'Part VI-Revenues &amp; Expenses'!I34</f>
        <v>0</v>
      </c>
      <c r="J777" s="1549">
        <f>'Part VI-Revenues &amp; Expenses'!J34</f>
        <v>0</v>
      </c>
      <c r="K777" s="1550">
        <f t="shared" si="1"/>
        <v>0</v>
      </c>
      <c r="L777" s="1550">
        <f t="shared" si="2"/>
        <v>0</v>
      </c>
      <c r="M777" s="1551">
        <f>'Part VI-Revenues &amp; Expenses'!M34</f>
        <v>0</v>
      </c>
      <c r="N777" s="1551">
        <f>'Part VI-Revenues &amp; Expenses'!N34</f>
        <v>0</v>
      </c>
      <c r="O777" s="1551">
        <f>'Part VI-Revenues &amp; Expenses'!O34</f>
        <v>0</v>
      </c>
      <c r="P777" s="1406">
        <f>'Part VI-Revenues &amp; Expenses'!P34</f>
        <v>0</v>
      </c>
      <c r="Q777" s="1552" t="str">
        <f>'Part VI-Revenues &amp; Expenses'!Q34</f>
        <v/>
      </c>
      <c r="R777" s="1553" t="str">
        <f>'Part VI-Revenues &amp; Expenses'!R34</f>
        <v/>
      </c>
      <c r="S777" s="1552">
        <f>'Part VI-Revenues &amp; Expenses'!S34</f>
        <v>0</v>
      </c>
      <c r="T777" s="1553">
        <f>'Part VI-Revenues &amp; Expenses'!T34</f>
        <v>0</v>
      </c>
      <c r="U777" s="1477"/>
      <c r="V777" s="1477"/>
      <c r="W777" s="531" t="str">
        <f t="shared" si="3"/>
        <v/>
      </c>
      <c r="X777" s="531" t="str">
        <f t="shared" si="4"/>
        <v/>
      </c>
      <c r="Y777" s="531" t="str">
        <f t="shared" si="5"/>
        <v/>
      </c>
      <c r="Z777" s="531" t="str">
        <f t="shared" si="6"/>
        <v/>
      </c>
      <c r="AA777" s="531" t="str">
        <f t="shared" si="7"/>
        <v/>
      </c>
      <c r="AB777" s="531" t="str">
        <f t="shared" si="8"/>
        <v/>
      </c>
      <c r="AC777" s="531" t="str">
        <f t="shared" si="9"/>
        <v/>
      </c>
      <c r="AD777" s="531" t="str">
        <f t="shared" si="10"/>
        <v/>
      </c>
      <c r="AE777" s="531" t="str">
        <f t="shared" si="11"/>
        <v/>
      </c>
      <c r="AF777" s="531" t="str">
        <f t="shared" si="12"/>
        <v/>
      </c>
      <c r="AG777" s="531" t="str">
        <f t="shared" si="13"/>
        <v/>
      </c>
      <c r="AH777" s="531" t="str">
        <f t="shared" si="14"/>
        <v/>
      </c>
      <c r="AI777" s="531" t="str">
        <f t="shared" si="15"/>
        <v/>
      </c>
      <c r="AJ777" s="531" t="str">
        <f t="shared" si="16"/>
        <v/>
      </c>
      <c r="AK777" s="531" t="str">
        <f t="shared" si="17"/>
        <v/>
      </c>
      <c r="AL777" s="531" t="str">
        <f t="shared" si="18"/>
        <v/>
      </c>
      <c r="AM777" s="531" t="str">
        <f t="shared" si="19"/>
        <v/>
      </c>
      <c r="AN777" s="531" t="str">
        <f t="shared" si="20"/>
        <v/>
      </c>
      <c r="AO777" s="531" t="str">
        <f t="shared" si="21"/>
        <v/>
      </c>
      <c r="AP777" s="531" t="str">
        <f t="shared" si="22"/>
        <v/>
      </c>
      <c r="AQ777" s="531" t="str">
        <f t="shared" si="23"/>
        <v/>
      </c>
      <c r="AR777" s="531" t="str">
        <f t="shared" si="24"/>
        <v/>
      </c>
      <c r="AS777" s="531" t="str">
        <f t="shared" si="25"/>
        <v/>
      </c>
      <c r="AT777" s="531" t="str">
        <f t="shared" si="26"/>
        <v/>
      </c>
      <c r="AU777" s="531" t="str">
        <f t="shared" si="27"/>
        <v/>
      </c>
      <c r="AV777" s="531" t="str">
        <f t="shared" si="28"/>
        <v/>
      </c>
      <c r="AW777" s="531" t="str">
        <f t="shared" si="29"/>
        <v/>
      </c>
      <c r="AX777" s="531" t="str">
        <f t="shared" si="30"/>
        <v/>
      </c>
      <c r="AY777" s="531" t="str">
        <f t="shared" si="31"/>
        <v/>
      </c>
      <c r="AZ777" s="531" t="str">
        <f t="shared" si="32"/>
        <v/>
      </c>
      <c r="BA777" s="531" t="str">
        <f t="shared" si="33"/>
        <v/>
      </c>
      <c r="BB777" s="531" t="str">
        <f t="shared" si="34"/>
        <v/>
      </c>
      <c r="BC777" s="531" t="str">
        <f t="shared" si="35"/>
        <v/>
      </c>
      <c r="BD777" s="531" t="str">
        <f t="shared" si="36"/>
        <v/>
      </c>
      <c r="BE777" s="531" t="str">
        <f t="shared" si="37"/>
        <v/>
      </c>
      <c r="BF777" s="531" t="str">
        <f t="shared" si="38"/>
        <v/>
      </c>
      <c r="BG777" s="531" t="str">
        <f t="shared" si="39"/>
        <v/>
      </c>
      <c r="BH777" s="531" t="str">
        <f t="shared" si="40"/>
        <v/>
      </c>
      <c r="BI777" s="531" t="str">
        <f t="shared" si="41"/>
        <v/>
      </c>
      <c r="BJ777" s="531" t="str">
        <f t="shared" si="42"/>
        <v/>
      </c>
      <c r="BK777" s="531" t="str">
        <f t="shared" si="43"/>
        <v/>
      </c>
      <c r="BL777" s="531" t="str">
        <f t="shared" si="44"/>
        <v/>
      </c>
      <c r="BM777" s="531" t="str">
        <f t="shared" si="45"/>
        <v/>
      </c>
      <c r="BN777" s="531" t="str">
        <f t="shared" si="46"/>
        <v/>
      </c>
      <c r="BO777" s="531" t="str">
        <f t="shared" si="47"/>
        <v/>
      </c>
      <c r="BP777" s="531" t="str">
        <f t="shared" si="48"/>
        <v/>
      </c>
      <c r="BQ777" s="531" t="str">
        <f t="shared" si="49"/>
        <v/>
      </c>
      <c r="BR777" s="531" t="str">
        <f t="shared" si="50"/>
        <v/>
      </c>
      <c r="BS777" s="531" t="str">
        <f t="shared" si="51"/>
        <v/>
      </c>
      <c r="BT777" s="531" t="str">
        <f t="shared" si="52"/>
        <v/>
      </c>
      <c r="BU777" s="531" t="str">
        <f t="shared" si="53"/>
        <v/>
      </c>
      <c r="BV777" s="531" t="str">
        <f t="shared" si="54"/>
        <v/>
      </c>
      <c r="BW777" s="531" t="str">
        <f t="shared" si="55"/>
        <v/>
      </c>
      <c r="BX777" s="531" t="str">
        <f t="shared" si="56"/>
        <v/>
      </c>
      <c r="BY777" s="531" t="str">
        <f t="shared" si="57"/>
        <v/>
      </c>
      <c r="BZ777" s="531" t="str">
        <f t="shared" si="58"/>
        <v/>
      </c>
      <c r="CA777" s="531" t="str">
        <f t="shared" si="59"/>
        <v/>
      </c>
      <c r="CB777" s="531" t="str">
        <f t="shared" si="60"/>
        <v/>
      </c>
      <c r="CC777" s="531" t="str">
        <f t="shared" si="61"/>
        <v/>
      </c>
      <c r="CD777" s="531" t="str">
        <f t="shared" si="62"/>
        <v/>
      </c>
      <c r="CE777" s="531" t="str">
        <f t="shared" si="63"/>
        <v/>
      </c>
      <c r="CF777" s="531" t="str">
        <f t="shared" si="64"/>
        <v/>
      </c>
      <c r="CG777" s="531" t="str">
        <f t="shared" si="65"/>
        <v/>
      </c>
      <c r="CH777" s="531" t="str">
        <f t="shared" si="66"/>
        <v/>
      </c>
      <c r="CI777" s="531" t="str">
        <f t="shared" si="67"/>
        <v/>
      </c>
      <c r="CJ777" s="531" t="str">
        <f t="shared" si="68"/>
        <v/>
      </c>
      <c r="CK777" s="531" t="str">
        <f t="shared" si="69"/>
        <v/>
      </c>
      <c r="CL777" s="531" t="str">
        <f t="shared" si="70"/>
        <v/>
      </c>
      <c r="CM777" s="531" t="str">
        <f t="shared" si="71"/>
        <v/>
      </c>
      <c r="CN777" s="531" t="str">
        <f t="shared" si="72"/>
        <v/>
      </c>
      <c r="CO777" s="531" t="str">
        <f t="shared" si="73"/>
        <v/>
      </c>
      <c r="CP777" s="531" t="str">
        <f t="shared" si="74"/>
        <v/>
      </c>
      <c r="CQ777" s="531" t="str">
        <f t="shared" si="75"/>
        <v/>
      </c>
      <c r="CR777" s="531" t="str">
        <f t="shared" si="76"/>
        <v/>
      </c>
      <c r="CS777" s="531" t="str">
        <f t="shared" si="77"/>
        <v/>
      </c>
      <c r="CT777" s="531" t="str">
        <f t="shared" si="78"/>
        <v/>
      </c>
      <c r="CU777" s="531" t="str">
        <f t="shared" si="79"/>
        <v/>
      </c>
      <c r="CV777" s="531" t="str">
        <f t="shared" si="80"/>
        <v/>
      </c>
      <c r="CW777" s="531" t="str">
        <f t="shared" si="81"/>
        <v/>
      </c>
      <c r="CX777" s="531" t="str">
        <f t="shared" si="82"/>
        <v/>
      </c>
      <c r="CY777" s="531" t="str">
        <f t="shared" si="83"/>
        <v/>
      </c>
      <c r="CZ777" s="531" t="str">
        <f t="shared" si="84"/>
        <v/>
      </c>
      <c r="DA777" s="531" t="str">
        <f t="shared" si="85"/>
        <v/>
      </c>
      <c r="DB777" s="531" t="str">
        <f t="shared" si="86"/>
        <v/>
      </c>
      <c r="DC777" s="531" t="str">
        <f t="shared" si="87"/>
        <v/>
      </c>
      <c r="DD777" s="531" t="str">
        <f t="shared" si="88"/>
        <v/>
      </c>
      <c r="DE777" s="531" t="str">
        <f t="shared" si="89"/>
        <v/>
      </c>
      <c r="DF777" s="531" t="str">
        <f t="shared" si="90"/>
        <v/>
      </c>
      <c r="DG777" s="531" t="str">
        <f t="shared" si="91"/>
        <v/>
      </c>
      <c r="DH777" s="531" t="str">
        <f t="shared" si="92"/>
        <v/>
      </c>
      <c r="DI777" s="531" t="str">
        <f t="shared" si="93"/>
        <v/>
      </c>
      <c r="DJ777" s="531" t="str">
        <f t="shared" si="94"/>
        <v/>
      </c>
      <c r="DK777" s="531" t="str">
        <f t="shared" si="95"/>
        <v/>
      </c>
      <c r="DL777" s="531" t="str">
        <f t="shared" si="96"/>
        <v/>
      </c>
      <c r="DM777" s="531" t="str">
        <f t="shared" si="97"/>
        <v/>
      </c>
      <c r="DN777" s="531" t="str">
        <f t="shared" si="98"/>
        <v/>
      </c>
      <c r="DO777" s="531" t="str">
        <f t="shared" si="99"/>
        <v/>
      </c>
      <c r="DP777" s="531" t="str">
        <f t="shared" si="100"/>
        <v/>
      </c>
      <c r="DQ777" s="531" t="str">
        <f t="shared" si="101"/>
        <v/>
      </c>
      <c r="DR777" s="531" t="str">
        <f t="shared" si="102"/>
        <v/>
      </c>
      <c r="DS777" s="531" t="str">
        <f t="shared" si="103"/>
        <v/>
      </c>
      <c r="DT777" s="531" t="str">
        <f t="shared" si="104"/>
        <v/>
      </c>
      <c r="DU777" s="531" t="str">
        <f t="shared" si="105"/>
        <v/>
      </c>
      <c r="DV777" s="531" t="str">
        <f t="shared" si="106"/>
        <v/>
      </c>
      <c r="DW777" s="531" t="str">
        <f t="shared" si="107"/>
        <v/>
      </c>
      <c r="DX777" s="531" t="str">
        <f t="shared" si="108"/>
        <v/>
      </c>
      <c r="DY777" s="531" t="str">
        <f t="shared" si="109"/>
        <v/>
      </c>
      <c r="DZ777" s="531" t="str">
        <f t="shared" si="110"/>
        <v/>
      </c>
      <c r="EA777" s="531" t="str">
        <f t="shared" si="111"/>
        <v/>
      </c>
      <c r="EB777" s="531" t="str">
        <f t="shared" si="112"/>
        <v/>
      </c>
      <c r="EC777" s="531" t="str">
        <f t="shared" si="113"/>
        <v/>
      </c>
      <c r="ED777" s="531" t="str">
        <f t="shared" si="114"/>
        <v/>
      </c>
      <c r="EE777" s="531" t="str">
        <f t="shared" si="115"/>
        <v/>
      </c>
      <c r="EF777" s="531" t="str">
        <f t="shared" si="116"/>
        <v/>
      </c>
      <c r="EG777" s="531" t="str">
        <f t="shared" si="117"/>
        <v/>
      </c>
      <c r="EH777" s="531" t="str">
        <f t="shared" si="118"/>
        <v/>
      </c>
      <c r="EI777" s="531" t="str">
        <f t="shared" si="119"/>
        <v/>
      </c>
      <c r="EJ777" s="531" t="str">
        <f t="shared" si="120"/>
        <v/>
      </c>
      <c r="EK777" s="531" t="str">
        <f t="shared" si="121"/>
        <v/>
      </c>
      <c r="EL777" s="531" t="str">
        <f t="shared" si="122"/>
        <v/>
      </c>
      <c r="EM777" s="531" t="str">
        <f t="shared" si="123"/>
        <v/>
      </c>
      <c r="EN777" s="531" t="str">
        <f t="shared" si="124"/>
        <v/>
      </c>
      <c r="EO777" s="531" t="str">
        <f t="shared" si="125"/>
        <v/>
      </c>
      <c r="EP777" s="531" t="str">
        <f t="shared" si="126"/>
        <v/>
      </c>
      <c r="EQ777" s="531" t="str">
        <f t="shared" si="127"/>
        <v/>
      </c>
      <c r="ER777" s="531" t="str">
        <f t="shared" si="128"/>
        <v/>
      </c>
      <c r="ES777" s="531" t="str">
        <f t="shared" si="129"/>
        <v/>
      </c>
      <c r="ET777" s="531" t="str">
        <f t="shared" si="130"/>
        <v/>
      </c>
      <c r="EU777" s="531" t="str">
        <f t="shared" si="131"/>
        <v/>
      </c>
      <c r="EV777" s="531" t="str">
        <f t="shared" si="132"/>
        <v/>
      </c>
      <c r="EW777" s="1554" t="str">
        <f t="shared" si="133"/>
        <v/>
      </c>
      <c r="EX777" s="1554" t="str">
        <f t="shared" si="134"/>
        <v/>
      </c>
      <c r="EY777" s="1554" t="str">
        <f t="shared" si="135"/>
        <v/>
      </c>
      <c r="EZ777" s="1554" t="str">
        <f t="shared" si="136"/>
        <v/>
      </c>
      <c r="FA777" s="1554" t="str">
        <f t="shared" si="137"/>
        <v/>
      </c>
      <c r="FB777" s="1554" t="str">
        <f t="shared" si="138"/>
        <v/>
      </c>
      <c r="FC777" s="1554" t="str">
        <f t="shared" si="139"/>
        <v/>
      </c>
      <c r="FD777" s="1554" t="str">
        <f t="shared" si="140"/>
        <v/>
      </c>
      <c r="FE777" s="1554" t="str">
        <f t="shared" si="141"/>
        <v/>
      </c>
      <c r="FF777" s="1554" t="str">
        <f t="shared" si="142"/>
        <v/>
      </c>
      <c r="FG777" s="1554" t="str">
        <f t="shared" si="143"/>
        <v/>
      </c>
      <c r="FH777" s="1554" t="str">
        <f t="shared" si="144"/>
        <v/>
      </c>
      <c r="FI777" s="1554" t="str">
        <f t="shared" si="145"/>
        <v/>
      </c>
      <c r="FJ777" s="1554" t="str">
        <f t="shared" si="146"/>
        <v/>
      </c>
      <c r="FK777" s="1554" t="str">
        <f t="shared" si="147"/>
        <v/>
      </c>
      <c r="FL777" s="1554" t="str">
        <f t="shared" si="148"/>
        <v/>
      </c>
      <c r="FM777" s="1554" t="str">
        <f t="shared" si="149"/>
        <v/>
      </c>
      <c r="FN777" s="1554" t="str">
        <f t="shared" si="150"/>
        <v/>
      </c>
      <c r="FO777" s="1554" t="str">
        <f t="shared" si="151"/>
        <v/>
      </c>
      <c r="FP777" s="1554" t="str">
        <f t="shared" si="152"/>
        <v/>
      </c>
      <c r="FQ777" s="1554" t="str">
        <f t="shared" si="153"/>
        <v/>
      </c>
      <c r="FR777" s="1554" t="str">
        <f t="shared" si="154"/>
        <v/>
      </c>
      <c r="FS777" s="1554" t="str">
        <f t="shared" si="155"/>
        <v/>
      </c>
      <c r="FT777" s="1554" t="str">
        <f t="shared" si="156"/>
        <v/>
      </c>
      <c r="FU777" s="1554" t="str">
        <f t="shared" si="157"/>
        <v/>
      </c>
      <c r="FV777" s="1554" t="str">
        <f t="shared" si="158"/>
        <v/>
      </c>
      <c r="FW777" s="1554" t="str">
        <f t="shared" si="159"/>
        <v/>
      </c>
      <c r="FX777" s="1554" t="str">
        <f t="shared" si="160"/>
        <v/>
      </c>
      <c r="FY777" s="1554" t="str">
        <f t="shared" si="161"/>
        <v/>
      </c>
      <c r="FZ777" s="1554" t="str">
        <f t="shared" si="162"/>
        <v/>
      </c>
      <c r="GA777" s="1554" t="str">
        <f t="shared" si="163"/>
        <v/>
      </c>
      <c r="GB777" s="1554" t="str">
        <f t="shared" si="164"/>
        <v/>
      </c>
      <c r="GC777" s="1554" t="str">
        <f t="shared" si="165"/>
        <v/>
      </c>
      <c r="GD777" s="1554" t="str">
        <f t="shared" si="166"/>
        <v/>
      </c>
      <c r="GE777" s="1554" t="str">
        <f t="shared" si="167"/>
        <v/>
      </c>
      <c r="GF777" s="1554" t="str">
        <f t="shared" si="168"/>
        <v/>
      </c>
      <c r="GG777" s="1554" t="str">
        <f t="shared" si="169"/>
        <v/>
      </c>
      <c r="GH777" s="1554" t="str">
        <f t="shared" si="170"/>
        <v/>
      </c>
      <c r="GI777" s="1554" t="str">
        <f t="shared" si="171"/>
        <v/>
      </c>
      <c r="GJ777" s="1554" t="str">
        <f t="shared" si="172"/>
        <v/>
      </c>
      <c r="GK777" s="1554" t="str">
        <f t="shared" si="173"/>
        <v/>
      </c>
      <c r="GL777" s="1554" t="str">
        <f t="shared" si="174"/>
        <v/>
      </c>
      <c r="GM777" s="1554" t="str">
        <f t="shared" si="175"/>
        <v/>
      </c>
      <c r="GN777" s="1554" t="str">
        <f t="shared" si="176"/>
        <v/>
      </c>
      <c r="GO777" s="1554" t="str">
        <f t="shared" si="177"/>
        <v/>
      </c>
      <c r="GP777" s="1554" t="str">
        <f t="shared" si="178"/>
        <v/>
      </c>
      <c r="GQ777" s="1554" t="str">
        <f t="shared" si="179"/>
        <v/>
      </c>
      <c r="GR777" s="1554" t="str">
        <f t="shared" si="180"/>
        <v/>
      </c>
      <c r="GS777" s="1554" t="str">
        <f t="shared" si="181"/>
        <v/>
      </c>
      <c r="GT777" s="1554" t="str">
        <f t="shared" si="182"/>
        <v/>
      </c>
      <c r="GU777" s="1554" t="str">
        <f t="shared" si="183"/>
        <v/>
      </c>
      <c r="GV777" s="1554" t="str">
        <f t="shared" si="184"/>
        <v/>
      </c>
      <c r="GW777" s="1554" t="str">
        <f t="shared" si="185"/>
        <v/>
      </c>
      <c r="GX777" s="1554" t="str">
        <f t="shared" si="186"/>
        <v/>
      </c>
      <c r="GY777" s="1554" t="str">
        <f t="shared" si="187"/>
        <v/>
      </c>
      <c r="GZ777" s="1554" t="str">
        <f t="shared" si="188"/>
        <v/>
      </c>
      <c r="HA777" s="1554" t="str">
        <f t="shared" si="189"/>
        <v/>
      </c>
      <c r="HB777" s="1554" t="str">
        <f t="shared" si="190"/>
        <v/>
      </c>
      <c r="HC777" s="1554" t="str">
        <f t="shared" si="191"/>
        <v/>
      </c>
      <c r="HD777" s="1554" t="str">
        <f t="shared" si="192"/>
        <v/>
      </c>
      <c r="HE777" s="1554" t="str">
        <f t="shared" si="193"/>
        <v/>
      </c>
      <c r="HF777" s="1554" t="str">
        <f t="shared" si="194"/>
        <v/>
      </c>
      <c r="HG777" s="1554" t="str">
        <f t="shared" si="195"/>
        <v/>
      </c>
      <c r="HH777" s="1554" t="str">
        <f t="shared" si="196"/>
        <v/>
      </c>
      <c r="HI777" s="1554" t="str">
        <f t="shared" si="197"/>
        <v/>
      </c>
      <c r="HJ777" s="1554" t="str">
        <f t="shared" si="198"/>
        <v/>
      </c>
      <c r="HK777" s="1554" t="str">
        <f t="shared" si="199"/>
        <v/>
      </c>
      <c r="HL777" s="1554" t="str">
        <f t="shared" si="200"/>
        <v/>
      </c>
      <c r="HM777" s="1554" t="str">
        <f t="shared" si="201"/>
        <v/>
      </c>
      <c r="HN777" s="1554" t="str">
        <f t="shared" si="202"/>
        <v/>
      </c>
      <c r="HO777" s="1554" t="str">
        <f t="shared" si="203"/>
        <v/>
      </c>
      <c r="HP777" s="1554" t="str">
        <f t="shared" si="204"/>
        <v/>
      </c>
      <c r="HQ777" s="1554" t="str">
        <f t="shared" si="205"/>
        <v/>
      </c>
      <c r="HR777" s="1554" t="str">
        <f t="shared" si="206"/>
        <v/>
      </c>
      <c r="HS777" s="1554" t="str">
        <f t="shared" si="207"/>
        <v/>
      </c>
      <c r="HT777" s="1554" t="str">
        <f t="shared" si="208"/>
        <v/>
      </c>
      <c r="HU777" s="1554" t="str">
        <f t="shared" si="209"/>
        <v/>
      </c>
      <c r="HV777" s="1554" t="str">
        <f t="shared" si="210"/>
        <v/>
      </c>
      <c r="HW777" s="1554" t="str">
        <f t="shared" si="211"/>
        <v/>
      </c>
      <c r="HX777" s="1554" t="str">
        <f t="shared" si="212"/>
        <v/>
      </c>
      <c r="HY777" s="1554" t="str">
        <f t="shared" si="213"/>
        <v/>
      </c>
      <c r="HZ777" s="1554" t="str">
        <f t="shared" si="214"/>
        <v/>
      </c>
      <c r="IA777" s="1554" t="str">
        <f t="shared" si="215"/>
        <v/>
      </c>
      <c r="IB777" s="1554" t="str">
        <f t="shared" si="216"/>
        <v/>
      </c>
      <c r="IC777" s="1554" t="str">
        <f t="shared" si="217"/>
        <v/>
      </c>
      <c r="ID777" s="31" t="str">
        <f t="shared" si="218"/>
        <v/>
      </c>
      <c r="IE777" s="31" t="str">
        <f t="shared" si="219"/>
        <v/>
      </c>
      <c r="IF777" s="31" t="str">
        <f t="shared" si="220"/>
        <v/>
      </c>
      <c r="IG777" s="31" t="str">
        <f t="shared" si="221"/>
        <v/>
      </c>
      <c r="IH777" s="31" t="str">
        <f t="shared" si="222"/>
        <v/>
      </c>
      <c r="II777" s="531" t="str">
        <f t="shared" si="223"/>
        <v/>
      </c>
      <c r="IJ777" s="531" t="str">
        <f t="shared" si="224"/>
        <v/>
      </c>
      <c r="IK777" s="531" t="str">
        <f t="shared" si="225"/>
        <v/>
      </c>
      <c r="IL777" s="531" t="str">
        <f t="shared" si="226"/>
        <v/>
      </c>
      <c r="IM777" s="531" t="str">
        <f t="shared" si="227"/>
        <v/>
      </c>
      <c r="IN777" s="531" t="str">
        <f t="shared" si="228"/>
        <v/>
      </c>
      <c r="IO777" s="531" t="str">
        <f t="shared" si="229"/>
        <v/>
      </c>
      <c r="IP777" s="531" t="str">
        <f t="shared" si="230"/>
        <v/>
      </c>
      <c r="IQ777" s="531" t="str">
        <f t="shared" si="231"/>
        <v/>
      </c>
      <c r="IR777" s="531" t="str">
        <f t="shared" si="232"/>
        <v/>
      </c>
      <c r="IS777" s="531" t="str">
        <f t="shared" si="233"/>
        <v/>
      </c>
      <c r="IT777" s="531" t="str">
        <f t="shared" si="234"/>
        <v/>
      </c>
      <c r="IU777" s="531" t="str">
        <f t="shared" si="235"/>
        <v/>
      </c>
      <c r="IV777" s="531" t="str">
        <f t="shared" si="236"/>
        <v/>
      </c>
      <c r="IW777" s="531" t="str">
        <f t="shared" si="237"/>
        <v/>
      </c>
      <c r="IX777" s="531" t="str">
        <f t="shared" si="238"/>
        <v/>
      </c>
      <c r="IY777" s="531" t="str">
        <f t="shared" si="239"/>
        <v/>
      </c>
      <c r="IZ777" s="531" t="str">
        <f t="shared" si="240"/>
        <v/>
      </c>
      <c r="JA777" s="531" t="str">
        <f t="shared" si="241"/>
        <v/>
      </c>
      <c r="JB777" s="531" t="str">
        <f t="shared" si="242"/>
        <v/>
      </c>
      <c r="JC777" s="615">
        <f t="shared" si="243"/>
        <v>0</v>
      </c>
      <c r="JD777" s="615">
        <f t="shared" si="244"/>
        <v>0</v>
      </c>
      <c r="JE777" s="615">
        <f t="shared" si="245"/>
        <v>0</v>
      </c>
      <c r="JF777" s="615">
        <f t="shared" si="246"/>
        <v>0</v>
      </c>
      <c r="JG777" s="615">
        <f t="shared" si="247"/>
        <v>0</v>
      </c>
      <c r="JH777" s="615">
        <f t="shared" si="248"/>
        <v>0</v>
      </c>
      <c r="JI777" s="615">
        <f t="shared" si="249"/>
        <v>0</v>
      </c>
      <c r="JJ777" s="615">
        <f t="shared" si="250"/>
        <v>0</v>
      </c>
      <c r="JK777" s="615">
        <f t="shared" si="251"/>
        <v>0</v>
      </c>
      <c r="JL777" s="615">
        <f t="shared" si="252"/>
        <v>0</v>
      </c>
      <c r="JM777" s="615">
        <f t="shared" si="253"/>
        <v>0</v>
      </c>
      <c r="JN777" s="615">
        <f t="shared" si="254"/>
        <v>0</v>
      </c>
      <c r="JO777" s="615">
        <f t="shared" si="255"/>
        <v>0</v>
      </c>
      <c r="JP777" s="615">
        <f t="shared" si="256"/>
        <v>0</v>
      </c>
      <c r="JQ777" s="615">
        <f t="shared" si="257"/>
        <v>0</v>
      </c>
    </row>
    <row r="778" spans="1:277" ht="12" customHeight="1">
      <c r="A778" s="1190" t="str">
        <f t="shared" si="0"/>
        <v/>
      </c>
      <c r="B778" s="1545" t="str">
        <f>'Part VI-Revenues &amp; Expenses'!B35</f>
        <v>&lt;&lt;Select&gt;&gt;</v>
      </c>
      <c r="C778" s="1546">
        <f>'Part VI-Revenues &amp; Expenses'!C35</f>
        <v>0</v>
      </c>
      <c r="D778" s="1547">
        <f>'Part VI-Revenues &amp; Expenses'!D35</f>
        <v>0</v>
      </c>
      <c r="E778" s="1548">
        <f>'Part VI-Revenues &amp; Expenses'!E35</f>
        <v>0</v>
      </c>
      <c r="F778" s="1548">
        <f>'Part VI-Revenues &amp; Expenses'!F35</f>
        <v>0</v>
      </c>
      <c r="G778" s="1548">
        <f>'Part VI-Revenues &amp; Expenses'!G35</f>
        <v>0</v>
      </c>
      <c r="H778" s="1548">
        <f>'Part VI-Revenues &amp; Expenses'!H35</f>
        <v>0</v>
      </c>
      <c r="I778" s="1548">
        <f>'Part VI-Revenues &amp; Expenses'!I35</f>
        <v>0</v>
      </c>
      <c r="J778" s="1549">
        <f>'Part VI-Revenues &amp; Expenses'!J35</f>
        <v>0</v>
      </c>
      <c r="K778" s="1550">
        <f t="shared" si="1"/>
        <v>0</v>
      </c>
      <c r="L778" s="1550">
        <f t="shared" si="2"/>
        <v>0</v>
      </c>
      <c r="M778" s="1551">
        <f>'Part VI-Revenues &amp; Expenses'!M35</f>
        <v>0</v>
      </c>
      <c r="N778" s="1551">
        <f>'Part VI-Revenues &amp; Expenses'!N35</f>
        <v>0</v>
      </c>
      <c r="O778" s="1551">
        <f>'Part VI-Revenues &amp; Expenses'!O35</f>
        <v>0</v>
      </c>
      <c r="P778" s="1406">
        <f>'Part VI-Revenues &amp; Expenses'!P35</f>
        <v>0</v>
      </c>
      <c r="Q778" s="1552" t="str">
        <f>'Part VI-Revenues &amp; Expenses'!Q35</f>
        <v/>
      </c>
      <c r="R778" s="1553" t="str">
        <f>'Part VI-Revenues &amp; Expenses'!R35</f>
        <v/>
      </c>
      <c r="S778" s="1552">
        <f>'Part VI-Revenues &amp; Expenses'!S35</f>
        <v>0</v>
      </c>
      <c r="T778" s="1553">
        <f>'Part VI-Revenues &amp; Expenses'!T35</f>
        <v>0</v>
      </c>
      <c r="U778" s="1477"/>
      <c r="V778" s="1477"/>
      <c r="W778" s="531" t="str">
        <f t="shared" si="3"/>
        <v/>
      </c>
      <c r="X778" s="531" t="str">
        <f t="shared" si="4"/>
        <v/>
      </c>
      <c r="Y778" s="531" t="str">
        <f t="shared" si="5"/>
        <v/>
      </c>
      <c r="Z778" s="531" t="str">
        <f t="shared" si="6"/>
        <v/>
      </c>
      <c r="AA778" s="531" t="str">
        <f t="shared" si="7"/>
        <v/>
      </c>
      <c r="AB778" s="531" t="str">
        <f t="shared" si="8"/>
        <v/>
      </c>
      <c r="AC778" s="531" t="str">
        <f t="shared" si="9"/>
        <v/>
      </c>
      <c r="AD778" s="531" t="str">
        <f t="shared" si="10"/>
        <v/>
      </c>
      <c r="AE778" s="531" t="str">
        <f t="shared" si="11"/>
        <v/>
      </c>
      <c r="AF778" s="531" t="str">
        <f t="shared" si="12"/>
        <v/>
      </c>
      <c r="AG778" s="531" t="str">
        <f t="shared" si="13"/>
        <v/>
      </c>
      <c r="AH778" s="531" t="str">
        <f t="shared" si="14"/>
        <v/>
      </c>
      <c r="AI778" s="531" t="str">
        <f t="shared" si="15"/>
        <v/>
      </c>
      <c r="AJ778" s="531" t="str">
        <f t="shared" si="16"/>
        <v/>
      </c>
      <c r="AK778" s="531" t="str">
        <f t="shared" si="17"/>
        <v/>
      </c>
      <c r="AL778" s="531" t="str">
        <f t="shared" si="18"/>
        <v/>
      </c>
      <c r="AM778" s="531" t="str">
        <f t="shared" si="19"/>
        <v/>
      </c>
      <c r="AN778" s="531" t="str">
        <f t="shared" si="20"/>
        <v/>
      </c>
      <c r="AO778" s="531" t="str">
        <f t="shared" si="21"/>
        <v/>
      </c>
      <c r="AP778" s="531" t="str">
        <f t="shared" si="22"/>
        <v/>
      </c>
      <c r="AQ778" s="531" t="str">
        <f t="shared" si="23"/>
        <v/>
      </c>
      <c r="AR778" s="531" t="str">
        <f t="shared" si="24"/>
        <v/>
      </c>
      <c r="AS778" s="531" t="str">
        <f t="shared" si="25"/>
        <v/>
      </c>
      <c r="AT778" s="531" t="str">
        <f t="shared" si="26"/>
        <v/>
      </c>
      <c r="AU778" s="531" t="str">
        <f t="shared" si="27"/>
        <v/>
      </c>
      <c r="AV778" s="531" t="str">
        <f t="shared" si="28"/>
        <v/>
      </c>
      <c r="AW778" s="531" t="str">
        <f t="shared" si="29"/>
        <v/>
      </c>
      <c r="AX778" s="531" t="str">
        <f t="shared" si="30"/>
        <v/>
      </c>
      <c r="AY778" s="531" t="str">
        <f t="shared" si="31"/>
        <v/>
      </c>
      <c r="AZ778" s="531" t="str">
        <f t="shared" si="32"/>
        <v/>
      </c>
      <c r="BA778" s="531" t="str">
        <f t="shared" si="33"/>
        <v/>
      </c>
      <c r="BB778" s="531" t="str">
        <f t="shared" si="34"/>
        <v/>
      </c>
      <c r="BC778" s="531" t="str">
        <f t="shared" si="35"/>
        <v/>
      </c>
      <c r="BD778" s="531" t="str">
        <f t="shared" si="36"/>
        <v/>
      </c>
      <c r="BE778" s="531" t="str">
        <f t="shared" si="37"/>
        <v/>
      </c>
      <c r="BF778" s="531" t="str">
        <f t="shared" si="38"/>
        <v/>
      </c>
      <c r="BG778" s="531" t="str">
        <f t="shared" si="39"/>
        <v/>
      </c>
      <c r="BH778" s="531" t="str">
        <f t="shared" si="40"/>
        <v/>
      </c>
      <c r="BI778" s="531" t="str">
        <f t="shared" si="41"/>
        <v/>
      </c>
      <c r="BJ778" s="531" t="str">
        <f t="shared" si="42"/>
        <v/>
      </c>
      <c r="BK778" s="531" t="str">
        <f t="shared" si="43"/>
        <v/>
      </c>
      <c r="BL778" s="531" t="str">
        <f t="shared" si="44"/>
        <v/>
      </c>
      <c r="BM778" s="531" t="str">
        <f t="shared" si="45"/>
        <v/>
      </c>
      <c r="BN778" s="531" t="str">
        <f t="shared" si="46"/>
        <v/>
      </c>
      <c r="BO778" s="531" t="str">
        <f t="shared" si="47"/>
        <v/>
      </c>
      <c r="BP778" s="531" t="str">
        <f t="shared" si="48"/>
        <v/>
      </c>
      <c r="BQ778" s="531" t="str">
        <f t="shared" si="49"/>
        <v/>
      </c>
      <c r="BR778" s="531" t="str">
        <f t="shared" si="50"/>
        <v/>
      </c>
      <c r="BS778" s="531" t="str">
        <f t="shared" si="51"/>
        <v/>
      </c>
      <c r="BT778" s="531" t="str">
        <f t="shared" si="52"/>
        <v/>
      </c>
      <c r="BU778" s="531" t="str">
        <f t="shared" si="53"/>
        <v/>
      </c>
      <c r="BV778" s="531" t="str">
        <f t="shared" si="54"/>
        <v/>
      </c>
      <c r="BW778" s="531" t="str">
        <f t="shared" si="55"/>
        <v/>
      </c>
      <c r="BX778" s="531" t="str">
        <f t="shared" si="56"/>
        <v/>
      </c>
      <c r="BY778" s="531" t="str">
        <f t="shared" si="57"/>
        <v/>
      </c>
      <c r="BZ778" s="531" t="str">
        <f t="shared" si="58"/>
        <v/>
      </c>
      <c r="CA778" s="531" t="str">
        <f t="shared" si="59"/>
        <v/>
      </c>
      <c r="CB778" s="531" t="str">
        <f t="shared" si="60"/>
        <v/>
      </c>
      <c r="CC778" s="531" t="str">
        <f t="shared" si="61"/>
        <v/>
      </c>
      <c r="CD778" s="531" t="str">
        <f t="shared" si="62"/>
        <v/>
      </c>
      <c r="CE778" s="531" t="str">
        <f t="shared" si="63"/>
        <v/>
      </c>
      <c r="CF778" s="531" t="str">
        <f t="shared" si="64"/>
        <v/>
      </c>
      <c r="CG778" s="531" t="str">
        <f t="shared" si="65"/>
        <v/>
      </c>
      <c r="CH778" s="531" t="str">
        <f t="shared" si="66"/>
        <v/>
      </c>
      <c r="CI778" s="531" t="str">
        <f t="shared" si="67"/>
        <v/>
      </c>
      <c r="CJ778" s="531" t="str">
        <f t="shared" si="68"/>
        <v/>
      </c>
      <c r="CK778" s="531" t="str">
        <f t="shared" si="69"/>
        <v/>
      </c>
      <c r="CL778" s="531" t="str">
        <f t="shared" si="70"/>
        <v/>
      </c>
      <c r="CM778" s="531" t="str">
        <f t="shared" si="71"/>
        <v/>
      </c>
      <c r="CN778" s="531" t="str">
        <f t="shared" si="72"/>
        <v/>
      </c>
      <c r="CO778" s="531" t="str">
        <f t="shared" si="73"/>
        <v/>
      </c>
      <c r="CP778" s="531" t="str">
        <f t="shared" si="74"/>
        <v/>
      </c>
      <c r="CQ778" s="531" t="str">
        <f t="shared" si="75"/>
        <v/>
      </c>
      <c r="CR778" s="531" t="str">
        <f t="shared" si="76"/>
        <v/>
      </c>
      <c r="CS778" s="531" t="str">
        <f t="shared" si="77"/>
        <v/>
      </c>
      <c r="CT778" s="531" t="str">
        <f t="shared" si="78"/>
        <v/>
      </c>
      <c r="CU778" s="531" t="str">
        <f t="shared" si="79"/>
        <v/>
      </c>
      <c r="CV778" s="531" t="str">
        <f t="shared" si="80"/>
        <v/>
      </c>
      <c r="CW778" s="531" t="str">
        <f t="shared" si="81"/>
        <v/>
      </c>
      <c r="CX778" s="531" t="str">
        <f t="shared" si="82"/>
        <v/>
      </c>
      <c r="CY778" s="531" t="str">
        <f t="shared" si="83"/>
        <v/>
      </c>
      <c r="CZ778" s="531" t="str">
        <f t="shared" si="84"/>
        <v/>
      </c>
      <c r="DA778" s="531" t="str">
        <f t="shared" si="85"/>
        <v/>
      </c>
      <c r="DB778" s="531" t="str">
        <f t="shared" si="86"/>
        <v/>
      </c>
      <c r="DC778" s="531" t="str">
        <f t="shared" si="87"/>
        <v/>
      </c>
      <c r="DD778" s="531" t="str">
        <f t="shared" si="88"/>
        <v/>
      </c>
      <c r="DE778" s="531" t="str">
        <f t="shared" si="89"/>
        <v/>
      </c>
      <c r="DF778" s="531" t="str">
        <f t="shared" si="90"/>
        <v/>
      </c>
      <c r="DG778" s="531" t="str">
        <f t="shared" si="91"/>
        <v/>
      </c>
      <c r="DH778" s="531" t="str">
        <f t="shared" si="92"/>
        <v/>
      </c>
      <c r="DI778" s="531" t="str">
        <f t="shared" si="93"/>
        <v/>
      </c>
      <c r="DJ778" s="531" t="str">
        <f t="shared" si="94"/>
        <v/>
      </c>
      <c r="DK778" s="531" t="str">
        <f t="shared" si="95"/>
        <v/>
      </c>
      <c r="DL778" s="531" t="str">
        <f t="shared" si="96"/>
        <v/>
      </c>
      <c r="DM778" s="531" t="str">
        <f t="shared" si="97"/>
        <v/>
      </c>
      <c r="DN778" s="531" t="str">
        <f t="shared" si="98"/>
        <v/>
      </c>
      <c r="DO778" s="531" t="str">
        <f t="shared" si="99"/>
        <v/>
      </c>
      <c r="DP778" s="531" t="str">
        <f t="shared" si="100"/>
        <v/>
      </c>
      <c r="DQ778" s="531" t="str">
        <f t="shared" si="101"/>
        <v/>
      </c>
      <c r="DR778" s="531" t="str">
        <f t="shared" si="102"/>
        <v/>
      </c>
      <c r="DS778" s="531" t="str">
        <f t="shared" si="103"/>
        <v/>
      </c>
      <c r="DT778" s="531" t="str">
        <f t="shared" si="104"/>
        <v/>
      </c>
      <c r="DU778" s="531" t="str">
        <f t="shared" si="105"/>
        <v/>
      </c>
      <c r="DV778" s="531" t="str">
        <f t="shared" si="106"/>
        <v/>
      </c>
      <c r="DW778" s="531" t="str">
        <f t="shared" si="107"/>
        <v/>
      </c>
      <c r="DX778" s="531" t="str">
        <f t="shared" si="108"/>
        <v/>
      </c>
      <c r="DY778" s="531" t="str">
        <f t="shared" si="109"/>
        <v/>
      </c>
      <c r="DZ778" s="531" t="str">
        <f t="shared" si="110"/>
        <v/>
      </c>
      <c r="EA778" s="531" t="str">
        <f t="shared" si="111"/>
        <v/>
      </c>
      <c r="EB778" s="531" t="str">
        <f t="shared" si="112"/>
        <v/>
      </c>
      <c r="EC778" s="531" t="str">
        <f t="shared" si="113"/>
        <v/>
      </c>
      <c r="ED778" s="531" t="str">
        <f t="shared" si="114"/>
        <v/>
      </c>
      <c r="EE778" s="531" t="str">
        <f t="shared" si="115"/>
        <v/>
      </c>
      <c r="EF778" s="531" t="str">
        <f t="shared" si="116"/>
        <v/>
      </c>
      <c r="EG778" s="531" t="str">
        <f t="shared" si="117"/>
        <v/>
      </c>
      <c r="EH778" s="531" t="str">
        <f t="shared" si="118"/>
        <v/>
      </c>
      <c r="EI778" s="531" t="str">
        <f t="shared" si="119"/>
        <v/>
      </c>
      <c r="EJ778" s="531" t="str">
        <f t="shared" si="120"/>
        <v/>
      </c>
      <c r="EK778" s="531" t="str">
        <f t="shared" si="121"/>
        <v/>
      </c>
      <c r="EL778" s="531" t="str">
        <f t="shared" si="122"/>
        <v/>
      </c>
      <c r="EM778" s="531" t="str">
        <f t="shared" si="123"/>
        <v/>
      </c>
      <c r="EN778" s="531" t="str">
        <f t="shared" si="124"/>
        <v/>
      </c>
      <c r="EO778" s="531" t="str">
        <f t="shared" si="125"/>
        <v/>
      </c>
      <c r="EP778" s="531" t="str">
        <f t="shared" si="126"/>
        <v/>
      </c>
      <c r="EQ778" s="531" t="str">
        <f t="shared" si="127"/>
        <v/>
      </c>
      <c r="ER778" s="531" t="str">
        <f t="shared" si="128"/>
        <v/>
      </c>
      <c r="ES778" s="531" t="str">
        <f t="shared" si="129"/>
        <v/>
      </c>
      <c r="ET778" s="531" t="str">
        <f t="shared" si="130"/>
        <v/>
      </c>
      <c r="EU778" s="531" t="str">
        <f t="shared" si="131"/>
        <v/>
      </c>
      <c r="EV778" s="531" t="str">
        <f t="shared" si="132"/>
        <v/>
      </c>
      <c r="EW778" s="1554" t="str">
        <f t="shared" si="133"/>
        <v/>
      </c>
      <c r="EX778" s="1554" t="str">
        <f t="shared" si="134"/>
        <v/>
      </c>
      <c r="EY778" s="1554" t="str">
        <f t="shared" si="135"/>
        <v/>
      </c>
      <c r="EZ778" s="1554" t="str">
        <f t="shared" si="136"/>
        <v/>
      </c>
      <c r="FA778" s="1554" t="str">
        <f t="shared" si="137"/>
        <v/>
      </c>
      <c r="FB778" s="1554" t="str">
        <f t="shared" si="138"/>
        <v/>
      </c>
      <c r="FC778" s="1554" t="str">
        <f t="shared" si="139"/>
        <v/>
      </c>
      <c r="FD778" s="1554" t="str">
        <f t="shared" si="140"/>
        <v/>
      </c>
      <c r="FE778" s="1554" t="str">
        <f t="shared" si="141"/>
        <v/>
      </c>
      <c r="FF778" s="1554" t="str">
        <f t="shared" si="142"/>
        <v/>
      </c>
      <c r="FG778" s="1554" t="str">
        <f t="shared" si="143"/>
        <v/>
      </c>
      <c r="FH778" s="1554" t="str">
        <f t="shared" si="144"/>
        <v/>
      </c>
      <c r="FI778" s="1554" t="str">
        <f t="shared" si="145"/>
        <v/>
      </c>
      <c r="FJ778" s="1554" t="str">
        <f t="shared" si="146"/>
        <v/>
      </c>
      <c r="FK778" s="1554" t="str">
        <f t="shared" si="147"/>
        <v/>
      </c>
      <c r="FL778" s="1554" t="str">
        <f t="shared" si="148"/>
        <v/>
      </c>
      <c r="FM778" s="1554" t="str">
        <f t="shared" si="149"/>
        <v/>
      </c>
      <c r="FN778" s="1554" t="str">
        <f t="shared" si="150"/>
        <v/>
      </c>
      <c r="FO778" s="1554" t="str">
        <f t="shared" si="151"/>
        <v/>
      </c>
      <c r="FP778" s="1554" t="str">
        <f t="shared" si="152"/>
        <v/>
      </c>
      <c r="FQ778" s="1554" t="str">
        <f t="shared" si="153"/>
        <v/>
      </c>
      <c r="FR778" s="1554" t="str">
        <f t="shared" si="154"/>
        <v/>
      </c>
      <c r="FS778" s="1554" t="str">
        <f t="shared" si="155"/>
        <v/>
      </c>
      <c r="FT778" s="1554" t="str">
        <f t="shared" si="156"/>
        <v/>
      </c>
      <c r="FU778" s="1554" t="str">
        <f t="shared" si="157"/>
        <v/>
      </c>
      <c r="FV778" s="1554" t="str">
        <f t="shared" si="158"/>
        <v/>
      </c>
      <c r="FW778" s="1554" t="str">
        <f t="shared" si="159"/>
        <v/>
      </c>
      <c r="FX778" s="1554" t="str">
        <f t="shared" si="160"/>
        <v/>
      </c>
      <c r="FY778" s="1554" t="str">
        <f t="shared" si="161"/>
        <v/>
      </c>
      <c r="FZ778" s="1554" t="str">
        <f t="shared" si="162"/>
        <v/>
      </c>
      <c r="GA778" s="1554" t="str">
        <f t="shared" si="163"/>
        <v/>
      </c>
      <c r="GB778" s="1554" t="str">
        <f t="shared" si="164"/>
        <v/>
      </c>
      <c r="GC778" s="1554" t="str">
        <f t="shared" si="165"/>
        <v/>
      </c>
      <c r="GD778" s="1554" t="str">
        <f t="shared" si="166"/>
        <v/>
      </c>
      <c r="GE778" s="1554" t="str">
        <f t="shared" si="167"/>
        <v/>
      </c>
      <c r="GF778" s="1554" t="str">
        <f t="shared" si="168"/>
        <v/>
      </c>
      <c r="GG778" s="1554" t="str">
        <f t="shared" si="169"/>
        <v/>
      </c>
      <c r="GH778" s="1554" t="str">
        <f t="shared" si="170"/>
        <v/>
      </c>
      <c r="GI778" s="1554" t="str">
        <f t="shared" si="171"/>
        <v/>
      </c>
      <c r="GJ778" s="1554" t="str">
        <f t="shared" si="172"/>
        <v/>
      </c>
      <c r="GK778" s="1554" t="str">
        <f t="shared" si="173"/>
        <v/>
      </c>
      <c r="GL778" s="1554" t="str">
        <f t="shared" si="174"/>
        <v/>
      </c>
      <c r="GM778" s="1554" t="str">
        <f t="shared" si="175"/>
        <v/>
      </c>
      <c r="GN778" s="1554" t="str">
        <f t="shared" si="176"/>
        <v/>
      </c>
      <c r="GO778" s="1554" t="str">
        <f t="shared" si="177"/>
        <v/>
      </c>
      <c r="GP778" s="1554" t="str">
        <f t="shared" si="178"/>
        <v/>
      </c>
      <c r="GQ778" s="1554" t="str">
        <f t="shared" si="179"/>
        <v/>
      </c>
      <c r="GR778" s="1554" t="str">
        <f t="shared" si="180"/>
        <v/>
      </c>
      <c r="GS778" s="1554" t="str">
        <f t="shared" si="181"/>
        <v/>
      </c>
      <c r="GT778" s="1554" t="str">
        <f t="shared" si="182"/>
        <v/>
      </c>
      <c r="GU778" s="1554" t="str">
        <f t="shared" si="183"/>
        <v/>
      </c>
      <c r="GV778" s="1554" t="str">
        <f t="shared" si="184"/>
        <v/>
      </c>
      <c r="GW778" s="1554" t="str">
        <f t="shared" si="185"/>
        <v/>
      </c>
      <c r="GX778" s="1554" t="str">
        <f t="shared" si="186"/>
        <v/>
      </c>
      <c r="GY778" s="1554" t="str">
        <f t="shared" si="187"/>
        <v/>
      </c>
      <c r="GZ778" s="1554" t="str">
        <f t="shared" si="188"/>
        <v/>
      </c>
      <c r="HA778" s="1554" t="str">
        <f t="shared" si="189"/>
        <v/>
      </c>
      <c r="HB778" s="1554" t="str">
        <f t="shared" si="190"/>
        <v/>
      </c>
      <c r="HC778" s="1554" t="str">
        <f t="shared" si="191"/>
        <v/>
      </c>
      <c r="HD778" s="1554" t="str">
        <f t="shared" si="192"/>
        <v/>
      </c>
      <c r="HE778" s="1554" t="str">
        <f t="shared" si="193"/>
        <v/>
      </c>
      <c r="HF778" s="1554" t="str">
        <f t="shared" si="194"/>
        <v/>
      </c>
      <c r="HG778" s="1554" t="str">
        <f t="shared" si="195"/>
        <v/>
      </c>
      <c r="HH778" s="1554" t="str">
        <f t="shared" si="196"/>
        <v/>
      </c>
      <c r="HI778" s="1554" t="str">
        <f t="shared" si="197"/>
        <v/>
      </c>
      <c r="HJ778" s="1554" t="str">
        <f t="shared" si="198"/>
        <v/>
      </c>
      <c r="HK778" s="1554" t="str">
        <f t="shared" si="199"/>
        <v/>
      </c>
      <c r="HL778" s="1554" t="str">
        <f t="shared" si="200"/>
        <v/>
      </c>
      <c r="HM778" s="1554" t="str">
        <f t="shared" si="201"/>
        <v/>
      </c>
      <c r="HN778" s="1554" t="str">
        <f t="shared" si="202"/>
        <v/>
      </c>
      <c r="HO778" s="1554" t="str">
        <f t="shared" si="203"/>
        <v/>
      </c>
      <c r="HP778" s="1554" t="str">
        <f t="shared" si="204"/>
        <v/>
      </c>
      <c r="HQ778" s="1554" t="str">
        <f t="shared" si="205"/>
        <v/>
      </c>
      <c r="HR778" s="1554" t="str">
        <f t="shared" si="206"/>
        <v/>
      </c>
      <c r="HS778" s="1554" t="str">
        <f t="shared" si="207"/>
        <v/>
      </c>
      <c r="HT778" s="1554" t="str">
        <f t="shared" si="208"/>
        <v/>
      </c>
      <c r="HU778" s="1554" t="str">
        <f t="shared" si="209"/>
        <v/>
      </c>
      <c r="HV778" s="1554" t="str">
        <f t="shared" si="210"/>
        <v/>
      </c>
      <c r="HW778" s="1554" t="str">
        <f t="shared" si="211"/>
        <v/>
      </c>
      <c r="HX778" s="1554" t="str">
        <f t="shared" si="212"/>
        <v/>
      </c>
      <c r="HY778" s="1554" t="str">
        <f t="shared" si="213"/>
        <v/>
      </c>
      <c r="HZ778" s="1554" t="str">
        <f t="shared" si="214"/>
        <v/>
      </c>
      <c r="IA778" s="1554" t="str">
        <f t="shared" si="215"/>
        <v/>
      </c>
      <c r="IB778" s="1554" t="str">
        <f t="shared" si="216"/>
        <v/>
      </c>
      <c r="IC778" s="1554" t="str">
        <f t="shared" si="217"/>
        <v/>
      </c>
      <c r="ID778" s="31" t="str">
        <f t="shared" si="218"/>
        <v/>
      </c>
      <c r="IE778" s="31" t="str">
        <f t="shared" si="219"/>
        <v/>
      </c>
      <c r="IF778" s="31" t="str">
        <f t="shared" si="220"/>
        <v/>
      </c>
      <c r="IG778" s="31" t="str">
        <f t="shared" si="221"/>
        <v/>
      </c>
      <c r="IH778" s="31" t="str">
        <f t="shared" si="222"/>
        <v/>
      </c>
      <c r="II778" s="531" t="str">
        <f t="shared" si="223"/>
        <v/>
      </c>
      <c r="IJ778" s="531" t="str">
        <f t="shared" si="224"/>
        <v/>
      </c>
      <c r="IK778" s="531" t="str">
        <f t="shared" si="225"/>
        <v/>
      </c>
      <c r="IL778" s="531" t="str">
        <f t="shared" si="226"/>
        <v/>
      </c>
      <c r="IM778" s="531" t="str">
        <f t="shared" si="227"/>
        <v/>
      </c>
      <c r="IN778" s="531" t="str">
        <f t="shared" si="228"/>
        <v/>
      </c>
      <c r="IO778" s="531" t="str">
        <f t="shared" si="229"/>
        <v/>
      </c>
      <c r="IP778" s="531" t="str">
        <f t="shared" si="230"/>
        <v/>
      </c>
      <c r="IQ778" s="531" t="str">
        <f t="shared" si="231"/>
        <v/>
      </c>
      <c r="IR778" s="531" t="str">
        <f t="shared" si="232"/>
        <v/>
      </c>
      <c r="IS778" s="531" t="str">
        <f t="shared" si="233"/>
        <v/>
      </c>
      <c r="IT778" s="531" t="str">
        <f t="shared" si="234"/>
        <v/>
      </c>
      <c r="IU778" s="531" t="str">
        <f t="shared" si="235"/>
        <v/>
      </c>
      <c r="IV778" s="531" t="str">
        <f t="shared" si="236"/>
        <v/>
      </c>
      <c r="IW778" s="531" t="str">
        <f t="shared" si="237"/>
        <v/>
      </c>
      <c r="IX778" s="531" t="str">
        <f t="shared" si="238"/>
        <v/>
      </c>
      <c r="IY778" s="531" t="str">
        <f t="shared" si="239"/>
        <v/>
      </c>
      <c r="IZ778" s="531" t="str">
        <f t="shared" si="240"/>
        <v/>
      </c>
      <c r="JA778" s="531" t="str">
        <f t="shared" si="241"/>
        <v/>
      </c>
      <c r="JB778" s="531" t="str">
        <f t="shared" si="242"/>
        <v/>
      </c>
      <c r="JC778" s="615">
        <f t="shared" si="243"/>
        <v>0</v>
      </c>
      <c r="JD778" s="615">
        <f t="shared" si="244"/>
        <v>0</v>
      </c>
      <c r="JE778" s="615">
        <f t="shared" si="245"/>
        <v>0</v>
      </c>
      <c r="JF778" s="615">
        <f t="shared" si="246"/>
        <v>0</v>
      </c>
      <c r="JG778" s="615">
        <f t="shared" si="247"/>
        <v>0</v>
      </c>
      <c r="JH778" s="615">
        <f t="shared" si="248"/>
        <v>0</v>
      </c>
      <c r="JI778" s="615">
        <f t="shared" si="249"/>
        <v>0</v>
      </c>
      <c r="JJ778" s="615">
        <f t="shared" si="250"/>
        <v>0</v>
      </c>
      <c r="JK778" s="615">
        <f t="shared" si="251"/>
        <v>0</v>
      </c>
      <c r="JL778" s="615">
        <f t="shared" si="252"/>
        <v>0</v>
      </c>
      <c r="JM778" s="615">
        <f t="shared" si="253"/>
        <v>0</v>
      </c>
      <c r="JN778" s="615">
        <f t="shared" si="254"/>
        <v>0</v>
      </c>
      <c r="JO778" s="615">
        <f t="shared" si="255"/>
        <v>0</v>
      </c>
      <c r="JP778" s="615">
        <f t="shared" si="256"/>
        <v>0</v>
      </c>
      <c r="JQ778" s="615">
        <f t="shared" si="257"/>
        <v>0</v>
      </c>
    </row>
    <row r="779" spans="1:277" ht="12" customHeight="1">
      <c r="A779" s="1190" t="str">
        <f t="shared" si="0"/>
        <v/>
      </c>
      <c r="B779" s="1545" t="str">
        <f>'Part VI-Revenues &amp; Expenses'!B36</f>
        <v>&lt;&lt;Select&gt;&gt;</v>
      </c>
      <c r="C779" s="1546">
        <f>'Part VI-Revenues &amp; Expenses'!C36</f>
        <v>0</v>
      </c>
      <c r="D779" s="1547">
        <f>'Part VI-Revenues &amp; Expenses'!D36</f>
        <v>0</v>
      </c>
      <c r="E779" s="1548">
        <f>'Part VI-Revenues &amp; Expenses'!E36</f>
        <v>0</v>
      </c>
      <c r="F779" s="1548">
        <f>'Part VI-Revenues &amp; Expenses'!F36</f>
        <v>0</v>
      </c>
      <c r="G779" s="1548">
        <f>'Part VI-Revenues &amp; Expenses'!G36</f>
        <v>0</v>
      </c>
      <c r="H779" s="1548">
        <f>'Part VI-Revenues &amp; Expenses'!H36</f>
        <v>0</v>
      </c>
      <c r="I779" s="1548">
        <f>'Part VI-Revenues &amp; Expenses'!I36</f>
        <v>0</v>
      </c>
      <c r="J779" s="1549">
        <f>'Part VI-Revenues &amp; Expenses'!J36</f>
        <v>0</v>
      </c>
      <c r="K779" s="1550">
        <f t="shared" si="1"/>
        <v>0</v>
      </c>
      <c r="L779" s="1550">
        <f t="shared" si="2"/>
        <v>0</v>
      </c>
      <c r="M779" s="1551">
        <f>'Part VI-Revenues &amp; Expenses'!M36</f>
        <v>0</v>
      </c>
      <c r="N779" s="1551">
        <f>'Part VI-Revenues &amp; Expenses'!N36</f>
        <v>0</v>
      </c>
      <c r="O779" s="1551">
        <f>'Part VI-Revenues &amp; Expenses'!O36</f>
        <v>0</v>
      </c>
      <c r="P779" s="1406">
        <f>'Part VI-Revenues &amp; Expenses'!P36</f>
        <v>0</v>
      </c>
      <c r="Q779" s="1552" t="str">
        <f>'Part VI-Revenues &amp; Expenses'!Q36</f>
        <v/>
      </c>
      <c r="R779" s="1553" t="str">
        <f>'Part VI-Revenues &amp; Expenses'!R36</f>
        <v/>
      </c>
      <c r="S779" s="1552">
        <f>'Part VI-Revenues &amp; Expenses'!S36</f>
        <v>0</v>
      </c>
      <c r="T779" s="1553">
        <f>'Part VI-Revenues &amp; Expenses'!T36</f>
        <v>0</v>
      </c>
      <c r="U779" s="1477"/>
      <c r="V779" s="1477"/>
      <c r="W779" s="531" t="str">
        <f t="shared" si="3"/>
        <v/>
      </c>
      <c r="X779" s="531" t="str">
        <f t="shared" si="4"/>
        <v/>
      </c>
      <c r="Y779" s="531" t="str">
        <f t="shared" si="5"/>
        <v/>
      </c>
      <c r="Z779" s="531" t="str">
        <f t="shared" si="6"/>
        <v/>
      </c>
      <c r="AA779" s="531" t="str">
        <f t="shared" si="7"/>
        <v/>
      </c>
      <c r="AB779" s="531" t="str">
        <f t="shared" si="8"/>
        <v/>
      </c>
      <c r="AC779" s="531" t="str">
        <f t="shared" si="9"/>
        <v/>
      </c>
      <c r="AD779" s="531" t="str">
        <f t="shared" si="10"/>
        <v/>
      </c>
      <c r="AE779" s="531" t="str">
        <f t="shared" si="11"/>
        <v/>
      </c>
      <c r="AF779" s="531" t="str">
        <f t="shared" si="12"/>
        <v/>
      </c>
      <c r="AG779" s="531" t="str">
        <f t="shared" si="13"/>
        <v/>
      </c>
      <c r="AH779" s="531" t="str">
        <f t="shared" si="14"/>
        <v/>
      </c>
      <c r="AI779" s="531" t="str">
        <f t="shared" si="15"/>
        <v/>
      </c>
      <c r="AJ779" s="531" t="str">
        <f t="shared" si="16"/>
        <v/>
      </c>
      <c r="AK779" s="531" t="str">
        <f t="shared" si="17"/>
        <v/>
      </c>
      <c r="AL779" s="531" t="str">
        <f t="shared" si="18"/>
        <v/>
      </c>
      <c r="AM779" s="531" t="str">
        <f t="shared" si="19"/>
        <v/>
      </c>
      <c r="AN779" s="531" t="str">
        <f t="shared" si="20"/>
        <v/>
      </c>
      <c r="AO779" s="531" t="str">
        <f t="shared" si="21"/>
        <v/>
      </c>
      <c r="AP779" s="531" t="str">
        <f t="shared" si="22"/>
        <v/>
      </c>
      <c r="AQ779" s="531" t="str">
        <f t="shared" si="23"/>
        <v/>
      </c>
      <c r="AR779" s="531" t="str">
        <f t="shared" si="24"/>
        <v/>
      </c>
      <c r="AS779" s="531" t="str">
        <f t="shared" si="25"/>
        <v/>
      </c>
      <c r="AT779" s="531" t="str">
        <f t="shared" si="26"/>
        <v/>
      </c>
      <c r="AU779" s="531" t="str">
        <f t="shared" si="27"/>
        <v/>
      </c>
      <c r="AV779" s="531" t="str">
        <f t="shared" si="28"/>
        <v/>
      </c>
      <c r="AW779" s="531" t="str">
        <f t="shared" si="29"/>
        <v/>
      </c>
      <c r="AX779" s="531" t="str">
        <f t="shared" si="30"/>
        <v/>
      </c>
      <c r="AY779" s="531" t="str">
        <f t="shared" si="31"/>
        <v/>
      </c>
      <c r="AZ779" s="531" t="str">
        <f t="shared" si="32"/>
        <v/>
      </c>
      <c r="BA779" s="531" t="str">
        <f t="shared" si="33"/>
        <v/>
      </c>
      <c r="BB779" s="531" t="str">
        <f t="shared" si="34"/>
        <v/>
      </c>
      <c r="BC779" s="531" t="str">
        <f t="shared" si="35"/>
        <v/>
      </c>
      <c r="BD779" s="531" t="str">
        <f t="shared" si="36"/>
        <v/>
      </c>
      <c r="BE779" s="531" t="str">
        <f t="shared" si="37"/>
        <v/>
      </c>
      <c r="BF779" s="531" t="str">
        <f t="shared" si="38"/>
        <v/>
      </c>
      <c r="BG779" s="531" t="str">
        <f t="shared" si="39"/>
        <v/>
      </c>
      <c r="BH779" s="531" t="str">
        <f t="shared" si="40"/>
        <v/>
      </c>
      <c r="BI779" s="531" t="str">
        <f t="shared" si="41"/>
        <v/>
      </c>
      <c r="BJ779" s="531" t="str">
        <f t="shared" si="42"/>
        <v/>
      </c>
      <c r="BK779" s="531" t="str">
        <f t="shared" si="43"/>
        <v/>
      </c>
      <c r="BL779" s="531" t="str">
        <f t="shared" si="44"/>
        <v/>
      </c>
      <c r="BM779" s="531" t="str">
        <f t="shared" si="45"/>
        <v/>
      </c>
      <c r="BN779" s="531" t="str">
        <f t="shared" si="46"/>
        <v/>
      </c>
      <c r="BO779" s="531" t="str">
        <f t="shared" si="47"/>
        <v/>
      </c>
      <c r="BP779" s="531" t="str">
        <f t="shared" si="48"/>
        <v/>
      </c>
      <c r="BQ779" s="531" t="str">
        <f t="shared" si="49"/>
        <v/>
      </c>
      <c r="BR779" s="531" t="str">
        <f t="shared" si="50"/>
        <v/>
      </c>
      <c r="BS779" s="531" t="str">
        <f t="shared" si="51"/>
        <v/>
      </c>
      <c r="BT779" s="531" t="str">
        <f t="shared" si="52"/>
        <v/>
      </c>
      <c r="BU779" s="531" t="str">
        <f t="shared" si="53"/>
        <v/>
      </c>
      <c r="BV779" s="531" t="str">
        <f t="shared" si="54"/>
        <v/>
      </c>
      <c r="BW779" s="531" t="str">
        <f t="shared" si="55"/>
        <v/>
      </c>
      <c r="BX779" s="531" t="str">
        <f t="shared" si="56"/>
        <v/>
      </c>
      <c r="BY779" s="531" t="str">
        <f t="shared" si="57"/>
        <v/>
      </c>
      <c r="BZ779" s="531" t="str">
        <f t="shared" si="58"/>
        <v/>
      </c>
      <c r="CA779" s="531" t="str">
        <f t="shared" si="59"/>
        <v/>
      </c>
      <c r="CB779" s="531" t="str">
        <f t="shared" si="60"/>
        <v/>
      </c>
      <c r="CC779" s="531" t="str">
        <f t="shared" si="61"/>
        <v/>
      </c>
      <c r="CD779" s="531" t="str">
        <f t="shared" si="62"/>
        <v/>
      </c>
      <c r="CE779" s="531" t="str">
        <f t="shared" si="63"/>
        <v/>
      </c>
      <c r="CF779" s="531" t="str">
        <f t="shared" si="64"/>
        <v/>
      </c>
      <c r="CG779" s="531" t="str">
        <f t="shared" si="65"/>
        <v/>
      </c>
      <c r="CH779" s="531" t="str">
        <f t="shared" si="66"/>
        <v/>
      </c>
      <c r="CI779" s="531" t="str">
        <f t="shared" si="67"/>
        <v/>
      </c>
      <c r="CJ779" s="531" t="str">
        <f t="shared" si="68"/>
        <v/>
      </c>
      <c r="CK779" s="531" t="str">
        <f t="shared" si="69"/>
        <v/>
      </c>
      <c r="CL779" s="531" t="str">
        <f t="shared" si="70"/>
        <v/>
      </c>
      <c r="CM779" s="531" t="str">
        <f t="shared" si="71"/>
        <v/>
      </c>
      <c r="CN779" s="531" t="str">
        <f t="shared" si="72"/>
        <v/>
      </c>
      <c r="CO779" s="531" t="str">
        <f t="shared" si="73"/>
        <v/>
      </c>
      <c r="CP779" s="531" t="str">
        <f t="shared" si="74"/>
        <v/>
      </c>
      <c r="CQ779" s="531" t="str">
        <f t="shared" si="75"/>
        <v/>
      </c>
      <c r="CR779" s="531" t="str">
        <f t="shared" si="76"/>
        <v/>
      </c>
      <c r="CS779" s="531" t="str">
        <f t="shared" si="77"/>
        <v/>
      </c>
      <c r="CT779" s="531" t="str">
        <f t="shared" si="78"/>
        <v/>
      </c>
      <c r="CU779" s="531" t="str">
        <f t="shared" si="79"/>
        <v/>
      </c>
      <c r="CV779" s="531" t="str">
        <f t="shared" si="80"/>
        <v/>
      </c>
      <c r="CW779" s="531" t="str">
        <f t="shared" si="81"/>
        <v/>
      </c>
      <c r="CX779" s="531" t="str">
        <f t="shared" si="82"/>
        <v/>
      </c>
      <c r="CY779" s="531" t="str">
        <f t="shared" si="83"/>
        <v/>
      </c>
      <c r="CZ779" s="531" t="str">
        <f t="shared" si="84"/>
        <v/>
      </c>
      <c r="DA779" s="531" t="str">
        <f t="shared" si="85"/>
        <v/>
      </c>
      <c r="DB779" s="531" t="str">
        <f t="shared" si="86"/>
        <v/>
      </c>
      <c r="DC779" s="531" t="str">
        <f t="shared" si="87"/>
        <v/>
      </c>
      <c r="DD779" s="531" t="str">
        <f t="shared" si="88"/>
        <v/>
      </c>
      <c r="DE779" s="531" t="str">
        <f t="shared" si="89"/>
        <v/>
      </c>
      <c r="DF779" s="531" t="str">
        <f t="shared" si="90"/>
        <v/>
      </c>
      <c r="DG779" s="531" t="str">
        <f t="shared" si="91"/>
        <v/>
      </c>
      <c r="DH779" s="531" t="str">
        <f t="shared" si="92"/>
        <v/>
      </c>
      <c r="DI779" s="531" t="str">
        <f t="shared" si="93"/>
        <v/>
      </c>
      <c r="DJ779" s="531" t="str">
        <f t="shared" si="94"/>
        <v/>
      </c>
      <c r="DK779" s="531" t="str">
        <f t="shared" si="95"/>
        <v/>
      </c>
      <c r="DL779" s="531" t="str">
        <f t="shared" si="96"/>
        <v/>
      </c>
      <c r="DM779" s="531" t="str">
        <f t="shared" si="97"/>
        <v/>
      </c>
      <c r="DN779" s="531" t="str">
        <f t="shared" si="98"/>
        <v/>
      </c>
      <c r="DO779" s="531" t="str">
        <f t="shared" si="99"/>
        <v/>
      </c>
      <c r="DP779" s="531" t="str">
        <f t="shared" si="100"/>
        <v/>
      </c>
      <c r="DQ779" s="531" t="str">
        <f t="shared" si="101"/>
        <v/>
      </c>
      <c r="DR779" s="531" t="str">
        <f t="shared" si="102"/>
        <v/>
      </c>
      <c r="DS779" s="531" t="str">
        <f t="shared" si="103"/>
        <v/>
      </c>
      <c r="DT779" s="531" t="str">
        <f t="shared" si="104"/>
        <v/>
      </c>
      <c r="DU779" s="531" t="str">
        <f t="shared" si="105"/>
        <v/>
      </c>
      <c r="DV779" s="531" t="str">
        <f t="shared" si="106"/>
        <v/>
      </c>
      <c r="DW779" s="531" t="str">
        <f t="shared" si="107"/>
        <v/>
      </c>
      <c r="DX779" s="531" t="str">
        <f t="shared" si="108"/>
        <v/>
      </c>
      <c r="DY779" s="531" t="str">
        <f t="shared" si="109"/>
        <v/>
      </c>
      <c r="DZ779" s="531" t="str">
        <f t="shared" si="110"/>
        <v/>
      </c>
      <c r="EA779" s="531" t="str">
        <f t="shared" si="111"/>
        <v/>
      </c>
      <c r="EB779" s="531" t="str">
        <f t="shared" si="112"/>
        <v/>
      </c>
      <c r="EC779" s="531" t="str">
        <f t="shared" si="113"/>
        <v/>
      </c>
      <c r="ED779" s="531" t="str">
        <f t="shared" si="114"/>
        <v/>
      </c>
      <c r="EE779" s="531" t="str">
        <f t="shared" si="115"/>
        <v/>
      </c>
      <c r="EF779" s="531" t="str">
        <f t="shared" si="116"/>
        <v/>
      </c>
      <c r="EG779" s="531" t="str">
        <f t="shared" si="117"/>
        <v/>
      </c>
      <c r="EH779" s="531" t="str">
        <f t="shared" si="118"/>
        <v/>
      </c>
      <c r="EI779" s="531" t="str">
        <f t="shared" si="119"/>
        <v/>
      </c>
      <c r="EJ779" s="531" t="str">
        <f t="shared" si="120"/>
        <v/>
      </c>
      <c r="EK779" s="531" t="str">
        <f t="shared" si="121"/>
        <v/>
      </c>
      <c r="EL779" s="531" t="str">
        <f t="shared" si="122"/>
        <v/>
      </c>
      <c r="EM779" s="531" t="str">
        <f t="shared" si="123"/>
        <v/>
      </c>
      <c r="EN779" s="531" t="str">
        <f t="shared" si="124"/>
        <v/>
      </c>
      <c r="EO779" s="531" t="str">
        <f t="shared" si="125"/>
        <v/>
      </c>
      <c r="EP779" s="531" t="str">
        <f t="shared" si="126"/>
        <v/>
      </c>
      <c r="EQ779" s="531" t="str">
        <f t="shared" si="127"/>
        <v/>
      </c>
      <c r="ER779" s="531" t="str">
        <f t="shared" si="128"/>
        <v/>
      </c>
      <c r="ES779" s="531" t="str">
        <f t="shared" si="129"/>
        <v/>
      </c>
      <c r="ET779" s="531" t="str">
        <f t="shared" si="130"/>
        <v/>
      </c>
      <c r="EU779" s="531" t="str">
        <f t="shared" si="131"/>
        <v/>
      </c>
      <c r="EV779" s="531" t="str">
        <f t="shared" si="132"/>
        <v/>
      </c>
      <c r="EW779" s="1554" t="str">
        <f t="shared" si="133"/>
        <v/>
      </c>
      <c r="EX779" s="1554" t="str">
        <f t="shared" si="134"/>
        <v/>
      </c>
      <c r="EY779" s="1554" t="str">
        <f t="shared" si="135"/>
        <v/>
      </c>
      <c r="EZ779" s="1554" t="str">
        <f t="shared" si="136"/>
        <v/>
      </c>
      <c r="FA779" s="1554" t="str">
        <f t="shared" si="137"/>
        <v/>
      </c>
      <c r="FB779" s="1554" t="str">
        <f t="shared" si="138"/>
        <v/>
      </c>
      <c r="FC779" s="1554" t="str">
        <f t="shared" si="139"/>
        <v/>
      </c>
      <c r="FD779" s="1554" t="str">
        <f t="shared" si="140"/>
        <v/>
      </c>
      <c r="FE779" s="1554" t="str">
        <f t="shared" si="141"/>
        <v/>
      </c>
      <c r="FF779" s="1554" t="str">
        <f t="shared" si="142"/>
        <v/>
      </c>
      <c r="FG779" s="1554" t="str">
        <f t="shared" si="143"/>
        <v/>
      </c>
      <c r="FH779" s="1554" t="str">
        <f t="shared" si="144"/>
        <v/>
      </c>
      <c r="FI779" s="1554" t="str">
        <f t="shared" si="145"/>
        <v/>
      </c>
      <c r="FJ779" s="1554" t="str">
        <f t="shared" si="146"/>
        <v/>
      </c>
      <c r="FK779" s="1554" t="str">
        <f t="shared" si="147"/>
        <v/>
      </c>
      <c r="FL779" s="1554" t="str">
        <f t="shared" si="148"/>
        <v/>
      </c>
      <c r="FM779" s="1554" t="str">
        <f t="shared" si="149"/>
        <v/>
      </c>
      <c r="FN779" s="1554" t="str">
        <f t="shared" si="150"/>
        <v/>
      </c>
      <c r="FO779" s="1554" t="str">
        <f t="shared" si="151"/>
        <v/>
      </c>
      <c r="FP779" s="1554" t="str">
        <f t="shared" si="152"/>
        <v/>
      </c>
      <c r="FQ779" s="1554" t="str">
        <f t="shared" si="153"/>
        <v/>
      </c>
      <c r="FR779" s="1554" t="str">
        <f t="shared" si="154"/>
        <v/>
      </c>
      <c r="FS779" s="1554" t="str">
        <f t="shared" si="155"/>
        <v/>
      </c>
      <c r="FT779" s="1554" t="str">
        <f t="shared" si="156"/>
        <v/>
      </c>
      <c r="FU779" s="1554" t="str">
        <f t="shared" si="157"/>
        <v/>
      </c>
      <c r="FV779" s="1554" t="str">
        <f t="shared" si="158"/>
        <v/>
      </c>
      <c r="FW779" s="1554" t="str">
        <f t="shared" si="159"/>
        <v/>
      </c>
      <c r="FX779" s="1554" t="str">
        <f t="shared" si="160"/>
        <v/>
      </c>
      <c r="FY779" s="1554" t="str">
        <f t="shared" si="161"/>
        <v/>
      </c>
      <c r="FZ779" s="1554" t="str">
        <f t="shared" si="162"/>
        <v/>
      </c>
      <c r="GA779" s="1554" t="str">
        <f t="shared" si="163"/>
        <v/>
      </c>
      <c r="GB779" s="1554" t="str">
        <f t="shared" si="164"/>
        <v/>
      </c>
      <c r="GC779" s="1554" t="str">
        <f t="shared" si="165"/>
        <v/>
      </c>
      <c r="GD779" s="1554" t="str">
        <f t="shared" si="166"/>
        <v/>
      </c>
      <c r="GE779" s="1554" t="str">
        <f t="shared" si="167"/>
        <v/>
      </c>
      <c r="GF779" s="1554" t="str">
        <f t="shared" si="168"/>
        <v/>
      </c>
      <c r="GG779" s="1554" t="str">
        <f t="shared" si="169"/>
        <v/>
      </c>
      <c r="GH779" s="1554" t="str">
        <f t="shared" si="170"/>
        <v/>
      </c>
      <c r="GI779" s="1554" t="str">
        <f t="shared" si="171"/>
        <v/>
      </c>
      <c r="GJ779" s="1554" t="str">
        <f t="shared" si="172"/>
        <v/>
      </c>
      <c r="GK779" s="1554" t="str">
        <f t="shared" si="173"/>
        <v/>
      </c>
      <c r="GL779" s="1554" t="str">
        <f t="shared" si="174"/>
        <v/>
      </c>
      <c r="GM779" s="1554" t="str">
        <f t="shared" si="175"/>
        <v/>
      </c>
      <c r="GN779" s="1554" t="str">
        <f t="shared" si="176"/>
        <v/>
      </c>
      <c r="GO779" s="1554" t="str">
        <f t="shared" si="177"/>
        <v/>
      </c>
      <c r="GP779" s="1554" t="str">
        <f t="shared" si="178"/>
        <v/>
      </c>
      <c r="GQ779" s="1554" t="str">
        <f t="shared" si="179"/>
        <v/>
      </c>
      <c r="GR779" s="1554" t="str">
        <f t="shared" si="180"/>
        <v/>
      </c>
      <c r="GS779" s="1554" t="str">
        <f t="shared" si="181"/>
        <v/>
      </c>
      <c r="GT779" s="1554" t="str">
        <f t="shared" si="182"/>
        <v/>
      </c>
      <c r="GU779" s="1554" t="str">
        <f t="shared" si="183"/>
        <v/>
      </c>
      <c r="GV779" s="1554" t="str">
        <f t="shared" si="184"/>
        <v/>
      </c>
      <c r="GW779" s="1554" t="str">
        <f t="shared" si="185"/>
        <v/>
      </c>
      <c r="GX779" s="1554" t="str">
        <f t="shared" si="186"/>
        <v/>
      </c>
      <c r="GY779" s="1554" t="str">
        <f t="shared" si="187"/>
        <v/>
      </c>
      <c r="GZ779" s="1554" t="str">
        <f t="shared" si="188"/>
        <v/>
      </c>
      <c r="HA779" s="1554" t="str">
        <f t="shared" si="189"/>
        <v/>
      </c>
      <c r="HB779" s="1554" t="str">
        <f t="shared" si="190"/>
        <v/>
      </c>
      <c r="HC779" s="1554" t="str">
        <f t="shared" si="191"/>
        <v/>
      </c>
      <c r="HD779" s="1554" t="str">
        <f t="shared" si="192"/>
        <v/>
      </c>
      <c r="HE779" s="1554" t="str">
        <f t="shared" si="193"/>
        <v/>
      </c>
      <c r="HF779" s="1554" t="str">
        <f t="shared" si="194"/>
        <v/>
      </c>
      <c r="HG779" s="1554" t="str">
        <f t="shared" si="195"/>
        <v/>
      </c>
      <c r="HH779" s="1554" t="str">
        <f t="shared" si="196"/>
        <v/>
      </c>
      <c r="HI779" s="1554" t="str">
        <f t="shared" si="197"/>
        <v/>
      </c>
      <c r="HJ779" s="1554" t="str">
        <f t="shared" si="198"/>
        <v/>
      </c>
      <c r="HK779" s="1554" t="str">
        <f t="shared" si="199"/>
        <v/>
      </c>
      <c r="HL779" s="1554" t="str">
        <f t="shared" si="200"/>
        <v/>
      </c>
      <c r="HM779" s="1554" t="str">
        <f t="shared" si="201"/>
        <v/>
      </c>
      <c r="HN779" s="1554" t="str">
        <f t="shared" si="202"/>
        <v/>
      </c>
      <c r="HO779" s="1554" t="str">
        <f t="shared" si="203"/>
        <v/>
      </c>
      <c r="HP779" s="1554" t="str">
        <f t="shared" si="204"/>
        <v/>
      </c>
      <c r="HQ779" s="1554" t="str">
        <f t="shared" si="205"/>
        <v/>
      </c>
      <c r="HR779" s="1554" t="str">
        <f t="shared" si="206"/>
        <v/>
      </c>
      <c r="HS779" s="1554" t="str">
        <f t="shared" si="207"/>
        <v/>
      </c>
      <c r="HT779" s="1554" t="str">
        <f t="shared" si="208"/>
        <v/>
      </c>
      <c r="HU779" s="1554" t="str">
        <f t="shared" si="209"/>
        <v/>
      </c>
      <c r="HV779" s="1554" t="str">
        <f t="shared" si="210"/>
        <v/>
      </c>
      <c r="HW779" s="1554" t="str">
        <f t="shared" si="211"/>
        <v/>
      </c>
      <c r="HX779" s="1554" t="str">
        <f t="shared" si="212"/>
        <v/>
      </c>
      <c r="HY779" s="1554" t="str">
        <f t="shared" si="213"/>
        <v/>
      </c>
      <c r="HZ779" s="1554" t="str">
        <f t="shared" si="214"/>
        <v/>
      </c>
      <c r="IA779" s="1554" t="str">
        <f t="shared" si="215"/>
        <v/>
      </c>
      <c r="IB779" s="1554" t="str">
        <f t="shared" si="216"/>
        <v/>
      </c>
      <c r="IC779" s="1554" t="str">
        <f t="shared" si="217"/>
        <v/>
      </c>
      <c r="ID779" s="31" t="str">
        <f t="shared" si="218"/>
        <v/>
      </c>
      <c r="IE779" s="31" t="str">
        <f t="shared" si="219"/>
        <v/>
      </c>
      <c r="IF779" s="31" t="str">
        <f t="shared" si="220"/>
        <v/>
      </c>
      <c r="IG779" s="31" t="str">
        <f t="shared" si="221"/>
        <v/>
      </c>
      <c r="IH779" s="31" t="str">
        <f t="shared" si="222"/>
        <v/>
      </c>
      <c r="II779" s="531" t="str">
        <f t="shared" si="223"/>
        <v/>
      </c>
      <c r="IJ779" s="531" t="str">
        <f t="shared" si="224"/>
        <v/>
      </c>
      <c r="IK779" s="531" t="str">
        <f t="shared" si="225"/>
        <v/>
      </c>
      <c r="IL779" s="531" t="str">
        <f t="shared" si="226"/>
        <v/>
      </c>
      <c r="IM779" s="531" t="str">
        <f t="shared" si="227"/>
        <v/>
      </c>
      <c r="IN779" s="531" t="str">
        <f t="shared" si="228"/>
        <v/>
      </c>
      <c r="IO779" s="531" t="str">
        <f t="shared" si="229"/>
        <v/>
      </c>
      <c r="IP779" s="531" t="str">
        <f t="shared" si="230"/>
        <v/>
      </c>
      <c r="IQ779" s="531" t="str">
        <f t="shared" si="231"/>
        <v/>
      </c>
      <c r="IR779" s="531" t="str">
        <f t="shared" si="232"/>
        <v/>
      </c>
      <c r="IS779" s="531" t="str">
        <f t="shared" si="233"/>
        <v/>
      </c>
      <c r="IT779" s="531" t="str">
        <f t="shared" si="234"/>
        <v/>
      </c>
      <c r="IU779" s="531" t="str">
        <f t="shared" si="235"/>
        <v/>
      </c>
      <c r="IV779" s="531" t="str">
        <f t="shared" si="236"/>
        <v/>
      </c>
      <c r="IW779" s="531" t="str">
        <f t="shared" si="237"/>
        <v/>
      </c>
      <c r="IX779" s="531" t="str">
        <f t="shared" si="238"/>
        <v/>
      </c>
      <c r="IY779" s="531" t="str">
        <f t="shared" si="239"/>
        <v/>
      </c>
      <c r="IZ779" s="531" t="str">
        <f t="shared" si="240"/>
        <v/>
      </c>
      <c r="JA779" s="531" t="str">
        <f t="shared" si="241"/>
        <v/>
      </c>
      <c r="JB779" s="531" t="str">
        <f t="shared" si="242"/>
        <v/>
      </c>
      <c r="JC779" s="615">
        <f t="shared" si="243"/>
        <v>0</v>
      </c>
      <c r="JD779" s="615">
        <f t="shared" si="244"/>
        <v>0</v>
      </c>
      <c r="JE779" s="615">
        <f t="shared" si="245"/>
        <v>0</v>
      </c>
      <c r="JF779" s="615">
        <f t="shared" si="246"/>
        <v>0</v>
      </c>
      <c r="JG779" s="615">
        <f t="shared" si="247"/>
        <v>0</v>
      </c>
      <c r="JH779" s="615">
        <f t="shared" si="248"/>
        <v>0</v>
      </c>
      <c r="JI779" s="615">
        <f t="shared" si="249"/>
        <v>0</v>
      </c>
      <c r="JJ779" s="615">
        <f t="shared" si="250"/>
        <v>0</v>
      </c>
      <c r="JK779" s="615">
        <f t="shared" si="251"/>
        <v>0</v>
      </c>
      <c r="JL779" s="615">
        <f t="shared" si="252"/>
        <v>0</v>
      </c>
      <c r="JM779" s="615">
        <f t="shared" si="253"/>
        <v>0</v>
      </c>
      <c r="JN779" s="615">
        <f t="shared" si="254"/>
        <v>0</v>
      </c>
      <c r="JO779" s="615">
        <f t="shared" si="255"/>
        <v>0</v>
      </c>
      <c r="JP779" s="615">
        <f t="shared" si="256"/>
        <v>0</v>
      </c>
      <c r="JQ779" s="615">
        <f t="shared" si="257"/>
        <v>0</v>
      </c>
    </row>
    <row r="780" spans="1:277" ht="12" customHeight="1">
      <c r="A780" s="1190" t="str">
        <f t="shared" si="0"/>
        <v/>
      </c>
      <c r="B780" s="1545" t="str">
        <f>'Part VI-Revenues &amp; Expenses'!B37</f>
        <v>&lt;&lt;Select&gt;&gt;</v>
      </c>
      <c r="C780" s="1546">
        <f>'Part VI-Revenues &amp; Expenses'!C37</f>
        <v>0</v>
      </c>
      <c r="D780" s="1547">
        <f>'Part VI-Revenues &amp; Expenses'!D37</f>
        <v>0</v>
      </c>
      <c r="E780" s="1548">
        <f>'Part VI-Revenues &amp; Expenses'!E37</f>
        <v>0</v>
      </c>
      <c r="F780" s="1548">
        <f>'Part VI-Revenues &amp; Expenses'!F37</f>
        <v>0</v>
      </c>
      <c r="G780" s="1548">
        <f>'Part VI-Revenues &amp; Expenses'!G37</f>
        <v>0</v>
      </c>
      <c r="H780" s="1548">
        <f>'Part VI-Revenues &amp; Expenses'!H37</f>
        <v>0</v>
      </c>
      <c r="I780" s="1548">
        <f>'Part VI-Revenues &amp; Expenses'!I37</f>
        <v>0</v>
      </c>
      <c r="J780" s="1549">
        <f>'Part VI-Revenues &amp; Expenses'!J37</f>
        <v>0</v>
      </c>
      <c r="K780" s="1550">
        <f t="shared" si="1"/>
        <v>0</v>
      </c>
      <c r="L780" s="1550">
        <f t="shared" si="2"/>
        <v>0</v>
      </c>
      <c r="M780" s="1551">
        <f>'Part VI-Revenues &amp; Expenses'!M37</f>
        <v>0</v>
      </c>
      <c r="N780" s="1551">
        <f>'Part VI-Revenues &amp; Expenses'!N37</f>
        <v>0</v>
      </c>
      <c r="O780" s="1551">
        <f>'Part VI-Revenues &amp; Expenses'!O37</f>
        <v>0</v>
      </c>
      <c r="P780" s="1406">
        <f>'Part VI-Revenues &amp; Expenses'!P37</f>
        <v>0</v>
      </c>
      <c r="Q780" s="1552" t="str">
        <f>'Part VI-Revenues &amp; Expenses'!Q37</f>
        <v/>
      </c>
      <c r="R780" s="1553" t="str">
        <f>'Part VI-Revenues &amp; Expenses'!R37</f>
        <v/>
      </c>
      <c r="S780" s="1552">
        <f>'Part VI-Revenues &amp; Expenses'!S37</f>
        <v>0</v>
      </c>
      <c r="T780" s="1553">
        <f>'Part VI-Revenues &amp; Expenses'!T37</f>
        <v>0</v>
      </c>
      <c r="U780" s="1477"/>
      <c r="V780" s="1477"/>
      <c r="W780" s="531" t="str">
        <f t="shared" si="3"/>
        <v/>
      </c>
      <c r="X780" s="531" t="str">
        <f t="shared" si="4"/>
        <v/>
      </c>
      <c r="Y780" s="531" t="str">
        <f t="shared" si="5"/>
        <v/>
      </c>
      <c r="Z780" s="531" t="str">
        <f t="shared" si="6"/>
        <v/>
      </c>
      <c r="AA780" s="531" t="str">
        <f t="shared" si="7"/>
        <v/>
      </c>
      <c r="AB780" s="531" t="str">
        <f t="shared" si="8"/>
        <v/>
      </c>
      <c r="AC780" s="531" t="str">
        <f t="shared" si="9"/>
        <v/>
      </c>
      <c r="AD780" s="531" t="str">
        <f t="shared" si="10"/>
        <v/>
      </c>
      <c r="AE780" s="531" t="str">
        <f t="shared" si="11"/>
        <v/>
      </c>
      <c r="AF780" s="531" t="str">
        <f t="shared" si="12"/>
        <v/>
      </c>
      <c r="AG780" s="531" t="str">
        <f t="shared" si="13"/>
        <v/>
      </c>
      <c r="AH780" s="531" t="str">
        <f t="shared" si="14"/>
        <v/>
      </c>
      <c r="AI780" s="531" t="str">
        <f t="shared" si="15"/>
        <v/>
      </c>
      <c r="AJ780" s="531" t="str">
        <f t="shared" si="16"/>
        <v/>
      </c>
      <c r="AK780" s="531" t="str">
        <f t="shared" si="17"/>
        <v/>
      </c>
      <c r="AL780" s="531" t="str">
        <f t="shared" si="18"/>
        <v/>
      </c>
      <c r="AM780" s="531" t="str">
        <f t="shared" si="19"/>
        <v/>
      </c>
      <c r="AN780" s="531" t="str">
        <f t="shared" si="20"/>
        <v/>
      </c>
      <c r="AO780" s="531" t="str">
        <f t="shared" si="21"/>
        <v/>
      </c>
      <c r="AP780" s="531" t="str">
        <f t="shared" si="22"/>
        <v/>
      </c>
      <c r="AQ780" s="531" t="str">
        <f t="shared" si="23"/>
        <v/>
      </c>
      <c r="AR780" s="531" t="str">
        <f t="shared" si="24"/>
        <v/>
      </c>
      <c r="AS780" s="531" t="str">
        <f t="shared" si="25"/>
        <v/>
      </c>
      <c r="AT780" s="531" t="str">
        <f t="shared" si="26"/>
        <v/>
      </c>
      <c r="AU780" s="531" t="str">
        <f t="shared" si="27"/>
        <v/>
      </c>
      <c r="AV780" s="531" t="str">
        <f t="shared" si="28"/>
        <v/>
      </c>
      <c r="AW780" s="531" t="str">
        <f t="shared" si="29"/>
        <v/>
      </c>
      <c r="AX780" s="531" t="str">
        <f t="shared" si="30"/>
        <v/>
      </c>
      <c r="AY780" s="531" t="str">
        <f t="shared" si="31"/>
        <v/>
      </c>
      <c r="AZ780" s="531" t="str">
        <f t="shared" si="32"/>
        <v/>
      </c>
      <c r="BA780" s="531" t="str">
        <f t="shared" si="33"/>
        <v/>
      </c>
      <c r="BB780" s="531" t="str">
        <f t="shared" si="34"/>
        <v/>
      </c>
      <c r="BC780" s="531" t="str">
        <f t="shared" si="35"/>
        <v/>
      </c>
      <c r="BD780" s="531" t="str">
        <f t="shared" si="36"/>
        <v/>
      </c>
      <c r="BE780" s="531" t="str">
        <f t="shared" si="37"/>
        <v/>
      </c>
      <c r="BF780" s="531" t="str">
        <f t="shared" si="38"/>
        <v/>
      </c>
      <c r="BG780" s="531" t="str">
        <f t="shared" si="39"/>
        <v/>
      </c>
      <c r="BH780" s="531" t="str">
        <f t="shared" si="40"/>
        <v/>
      </c>
      <c r="BI780" s="531" t="str">
        <f t="shared" si="41"/>
        <v/>
      </c>
      <c r="BJ780" s="531" t="str">
        <f t="shared" si="42"/>
        <v/>
      </c>
      <c r="BK780" s="531" t="str">
        <f t="shared" si="43"/>
        <v/>
      </c>
      <c r="BL780" s="531" t="str">
        <f t="shared" si="44"/>
        <v/>
      </c>
      <c r="BM780" s="531" t="str">
        <f t="shared" si="45"/>
        <v/>
      </c>
      <c r="BN780" s="531" t="str">
        <f t="shared" si="46"/>
        <v/>
      </c>
      <c r="BO780" s="531" t="str">
        <f t="shared" si="47"/>
        <v/>
      </c>
      <c r="BP780" s="531" t="str">
        <f t="shared" si="48"/>
        <v/>
      </c>
      <c r="BQ780" s="531" t="str">
        <f t="shared" si="49"/>
        <v/>
      </c>
      <c r="BR780" s="531" t="str">
        <f t="shared" si="50"/>
        <v/>
      </c>
      <c r="BS780" s="531" t="str">
        <f t="shared" si="51"/>
        <v/>
      </c>
      <c r="BT780" s="531" t="str">
        <f t="shared" si="52"/>
        <v/>
      </c>
      <c r="BU780" s="531" t="str">
        <f t="shared" si="53"/>
        <v/>
      </c>
      <c r="BV780" s="531" t="str">
        <f t="shared" si="54"/>
        <v/>
      </c>
      <c r="BW780" s="531" t="str">
        <f t="shared" si="55"/>
        <v/>
      </c>
      <c r="BX780" s="531" t="str">
        <f t="shared" si="56"/>
        <v/>
      </c>
      <c r="BY780" s="531" t="str">
        <f t="shared" si="57"/>
        <v/>
      </c>
      <c r="BZ780" s="531" t="str">
        <f t="shared" si="58"/>
        <v/>
      </c>
      <c r="CA780" s="531" t="str">
        <f t="shared" si="59"/>
        <v/>
      </c>
      <c r="CB780" s="531" t="str">
        <f t="shared" si="60"/>
        <v/>
      </c>
      <c r="CC780" s="531" t="str">
        <f t="shared" si="61"/>
        <v/>
      </c>
      <c r="CD780" s="531" t="str">
        <f t="shared" si="62"/>
        <v/>
      </c>
      <c r="CE780" s="531" t="str">
        <f t="shared" si="63"/>
        <v/>
      </c>
      <c r="CF780" s="531" t="str">
        <f t="shared" si="64"/>
        <v/>
      </c>
      <c r="CG780" s="531" t="str">
        <f t="shared" si="65"/>
        <v/>
      </c>
      <c r="CH780" s="531" t="str">
        <f t="shared" si="66"/>
        <v/>
      </c>
      <c r="CI780" s="531" t="str">
        <f t="shared" si="67"/>
        <v/>
      </c>
      <c r="CJ780" s="531" t="str">
        <f t="shared" si="68"/>
        <v/>
      </c>
      <c r="CK780" s="531" t="str">
        <f t="shared" si="69"/>
        <v/>
      </c>
      <c r="CL780" s="531" t="str">
        <f t="shared" si="70"/>
        <v/>
      </c>
      <c r="CM780" s="531" t="str">
        <f t="shared" si="71"/>
        <v/>
      </c>
      <c r="CN780" s="531" t="str">
        <f t="shared" si="72"/>
        <v/>
      </c>
      <c r="CO780" s="531" t="str">
        <f t="shared" si="73"/>
        <v/>
      </c>
      <c r="CP780" s="531" t="str">
        <f t="shared" si="74"/>
        <v/>
      </c>
      <c r="CQ780" s="531" t="str">
        <f t="shared" si="75"/>
        <v/>
      </c>
      <c r="CR780" s="531" t="str">
        <f t="shared" si="76"/>
        <v/>
      </c>
      <c r="CS780" s="531" t="str">
        <f t="shared" si="77"/>
        <v/>
      </c>
      <c r="CT780" s="531" t="str">
        <f t="shared" si="78"/>
        <v/>
      </c>
      <c r="CU780" s="531" t="str">
        <f t="shared" si="79"/>
        <v/>
      </c>
      <c r="CV780" s="531" t="str">
        <f t="shared" si="80"/>
        <v/>
      </c>
      <c r="CW780" s="531" t="str">
        <f t="shared" si="81"/>
        <v/>
      </c>
      <c r="CX780" s="531" t="str">
        <f t="shared" si="82"/>
        <v/>
      </c>
      <c r="CY780" s="531" t="str">
        <f t="shared" si="83"/>
        <v/>
      </c>
      <c r="CZ780" s="531" t="str">
        <f t="shared" si="84"/>
        <v/>
      </c>
      <c r="DA780" s="531" t="str">
        <f t="shared" si="85"/>
        <v/>
      </c>
      <c r="DB780" s="531" t="str">
        <f t="shared" si="86"/>
        <v/>
      </c>
      <c r="DC780" s="531" t="str">
        <f t="shared" si="87"/>
        <v/>
      </c>
      <c r="DD780" s="531" t="str">
        <f t="shared" si="88"/>
        <v/>
      </c>
      <c r="DE780" s="531" t="str">
        <f t="shared" si="89"/>
        <v/>
      </c>
      <c r="DF780" s="531" t="str">
        <f t="shared" si="90"/>
        <v/>
      </c>
      <c r="DG780" s="531" t="str">
        <f t="shared" si="91"/>
        <v/>
      </c>
      <c r="DH780" s="531" t="str">
        <f t="shared" si="92"/>
        <v/>
      </c>
      <c r="DI780" s="531" t="str">
        <f t="shared" si="93"/>
        <v/>
      </c>
      <c r="DJ780" s="531" t="str">
        <f t="shared" si="94"/>
        <v/>
      </c>
      <c r="DK780" s="531" t="str">
        <f t="shared" si="95"/>
        <v/>
      </c>
      <c r="DL780" s="531" t="str">
        <f t="shared" si="96"/>
        <v/>
      </c>
      <c r="DM780" s="531" t="str">
        <f t="shared" si="97"/>
        <v/>
      </c>
      <c r="DN780" s="531" t="str">
        <f t="shared" si="98"/>
        <v/>
      </c>
      <c r="DO780" s="531" t="str">
        <f t="shared" si="99"/>
        <v/>
      </c>
      <c r="DP780" s="531" t="str">
        <f t="shared" si="100"/>
        <v/>
      </c>
      <c r="DQ780" s="531" t="str">
        <f t="shared" si="101"/>
        <v/>
      </c>
      <c r="DR780" s="531" t="str">
        <f t="shared" si="102"/>
        <v/>
      </c>
      <c r="DS780" s="531" t="str">
        <f t="shared" si="103"/>
        <v/>
      </c>
      <c r="DT780" s="531" t="str">
        <f t="shared" si="104"/>
        <v/>
      </c>
      <c r="DU780" s="531" t="str">
        <f t="shared" si="105"/>
        <v/>
      </c>
      <c r="DV780" s="531" t="str">
        <f t="shared" si="106"/>
        <v/>
      </c>
      <c r="DW780" s="531" t="str">
        <f t="shared" si="107"/>
        <v/>
      </c>
      <c r="DX780" s="531" t="str">
        <f t="shared" si="108"/>
        <v/>
      </c>
      <c r="DY780" s="531" t="str">
        <f t="shared" si="109"/>
        <v/>
      </c>
      <c r="DZ780" s="531" t="str">
        <f t="shared" si="110"/>
        <v/>
      </c>
      <c r="EA780" s="531" t="str">
        <f t="shared" si="111"/>
        <v/>
      </c>
      <c r="EB780" s="531" t="str">
        <f t="shared" si="112"/>
        <v/>
      </c>
      <c r="EC780" s="531" t="str">
        <f t="shared" si="113"/>
        <v/>
      </c>
      <c r="ED780" s="531" t="str">
        <f t="shared" si="114"/>
        <v/>
      </c>
      <c r="EE780" s="531" t="str">
        <f t="shared" si="115"/>
        <v/>
      </c>
      <c r="EF780" s="531" t="str">
        <f t="shared" si="116"/>
        <v/>
      </c>
      <c r="EG780" s="531" t="str">
        <f t="shared" si="117"/>
        <v/>
      </c>
      <c r="EH780" s="531" t="str">
        <f t="shared" si="118"/>
        <v/>
      </c>
      <c r="EI780" s="531" t="str">
        <f t="shared" si="119"/>
        <v/>
      </c>
      <c r="EJ780" s="531" t="str">
        <f t="shared" si="120"/>
        <v/>
      </c>
      <c r="EK780" s="531" t="str">
        <f t="shared" si="121"/>
        <v/>
      </c>
      <c r="EL780" s="531" t="str">
        <f t="shared" si="122"/>
        <v/>
      </c>
      <c r="EM780" s="531" t="str">
        <f t="shared" si="123"/>
        <v/>
      </c>
      <c r="EN780" s="531" t="str">
        <f t="shared" si="124"/>
        <v/>
      </c>
      <c r="EO780" s="531" t="str">
        <f t="shared" si="125"/>
        <v/>
      </c>
      <c r="EP780" s="531" t="str">
        <f t="shared" si="126"/>
        <v/>
      </c>
      <c r="EQ780" s="531" t="str">
        <f t="shared" si="127"/>
        <v/>
      </c>
      <c r="ER780" s="531" t="str">
        <f t="shared" si="128"/>
        <v/>
      </c>
      <c r="ES780" s="531" t="str">
        <f t="shared" si="129"/>
        <v/>
      </c>
      <c r="ET780" s="531" t="str">
        <f t="shared" si="130"/>
        <v/>
      </c>
      <c r="EU780" s="531" t="str">
        <f t="shared" si="131"/>
        <v/>
      </c>
      <c r="EV780" s="531" t="str">
        <f t="shared" si="132"/>
        <v/>
      </c>
      <c r="EW780" s="1554" t="str">
        <f t="shared" si="133"/>
        <v/>
      </c>
      <c r="EX780" s="1554" t="str">
        <f t="shared" si="134"/>
        <v/>
      </c>
      <c r="EY780" s="1554" t="str">
        <f t="shared" si="135"/>
        <v/>
      </c>
      <c r="EZ780" s="1554" t="str">
        <f t="shared" si="136"/>
        <v/>
      </c>
      <c r="FA780" s="1554" t="str">
        <f t="shared" si="137"/>
        <v/>
      </c>
      <c r="FB780" s="1554" t="str">
        <f t="shared" si="138"/>
        <v/>
      </c>
      <c r="FC780" s="1554" t="str">
        <f t="shared" si="139"/>
        <v/>
      </c>
      <c r="FD780" s="1554" t="str">
        <f t="shared" si="140"/>
        <v/>
      </c>
      <c r="FE780" s="1554" t="str">
        <f t="shared" si="141"/>
        <v/>
      </c>
      <c r="FF780" s="1554" t="str">
        <f t="shared" si="142"/>
        <v/>
      </c>
      <c r="FG780" s="1554" t="str">
        <f t="shared" si="143"/>
        <v/>
      </c>
      <c r="FH780" s="1554" t="str">
        <f t="shared" si="144"/>
        <v/>
      </c>
      <c r="FI780" s="1554" t="str">
        <f t="shared" si="145"/>
        <v/>
      </c>
      <c r="FJ780" s="1554" t="str">
        <f t="shared" si="146"/>
        <v/>
      </c>
      <c r="FK780" s="1554" t="str">
        <f t="shared" si="147"/>
        <v/>
      </c>
      <c r="FL780" s="1554" t="str">
        <f t="shared" si="148"/>
        <v/>
      </c>
      <c r="FM780" s="1554" t="str">
        <f t="shared" si="149"/>
        <v/>
      </c>
      <c r="FN780" s="1554" t="str">
        <f t="shared" si="150"/>
        <v/>
      </c>
      <c r="FO780" s="1554" t="str">
        <f t="shared" si="151"/>
        <v/>
      </c>
      <c r="FP780" s="1554" t="str">
        <f t="shared" si="152"/>
        <v/>
      </c>
      <c r="FQ780" s="1554" t="str">
        <f t="shared" si="153"/>
        <v/>
      </c>
      <c r="FR780" s="1554" t="str">
        <f t="shared" si="154"/>
        <v/>
      </c>
      <c r="FS780" s="1554" t="str">
        <f t="shared" si="155"/>
        <v/>
      </c>
      <c r="FT780" s="1554" t="str">
        <f t="shared" si="156"/>
        <v/>
      </c>
      <c r="FU780" s="1554" t="str">
        <f t="shared" si="157"/>
        <v/>
      </c>
      <c r="FV780" s="1554" t="str">
        <f t="shared" si="158"/>
        <v/>
      </c>
      <c r="FW780" s="1554" t="str">
        <f t="shared" si="159"/>
        <v/>
      </c>
      <c r="FX780" s="1554" t="str">
        <f t="shared" si="160"/>
        <v/>
      </c>
      <c r="FY780" s="1554" t="str">
        <f t="shared" si="161"/>
        <v/>
      </c>
      <c r="FZ780" s="1554" t="str">
        <f t="shared" si="162"/>
        <v/>
      </c>
      <c r="GA780" s="1554" t="str">
        <f t="shared" si="163"/>
        <v/>
      </c>
      <c r="GB780" s="1554" t="str">
        <f t="shared" si="164"/>
        <v/>
      </c>
      <c r="GC780" s="1554" t="str">
        <f t="shared" si="165"/>
        <v/>
      </c>
      <c r="GD780" s="1554" t="str">
        <f t="shared" si="166"/>
        <v/>
      </c>
      <c r="GE780" s="1554" t="str">
        <f t="shared" si="167"/>
        <v/>
      </c>
      <c r="GF780" s="1554" t="str">
        <f t="shared" si="168"/>
        <v/>
      </c>
      <c r="GG780" s="1554" t="str">
        <f t="shared" si="169"/>
        <v/>
      </c>
      <c r="GH780" s="1554" t="str">
        <f t="shared" si="170"/>
        <v/>
      </c>
      <c r="GI780" s="1554" t="str">
        <f t="shared" si="171"/>
        <v/>
      </c>
      <c r="GJ780" s="1554" t="str">
        <f t="shared" si="172"/>
        <v/>
      </c>
      <c r="GK780" s="1554" t="str">
        <f t="shared" si="173"/>
        <v/>
      </c>
      <c r="GL780" s="1554" t="str">
        <f t="shared" si="174"/>
        <v/>
      </c>
      <c r="GM780" s="1554" t="str">
        <f t="shared" si="175"/>
        <v/>
      </c>
      <c r="GN780" s="1554" t="str">
        <f t="shared" si="176"/>
        <v/>
      </c>
      <c r="GO780" s="1554" t="str">
        <f t="shared" si="177"/>
        <v/>
      </c>
      <c r="GP780" s="1554" t="str">
        <f t="shared" si="178"/>
        <v/>
      </c>
      <c r="GQ780" s="1554" t="str">
        <f t="shared" si="179"/>
        <v/>
      </c>
      <c r="GR780" s="1554" t="str">
        <f t="shared" si="180"/>
        <v/>
      </c>
      <c r="GS780" s="1554" t="str">
        <f t="shared" si="181"/>
        <v/>
      </c>
      <c r="GT780" s="1554" t="str">
        <f t="shared" si="182"/>
        <v/>
      </c>
      <c r="GU780" s="1554" t="str">
        <f t="shared" si="183"/>
        <v/>
      </c>
      <c r="GV780" s="1554" t="str">
        <f t="shared" si="184"/>
        <v/>
      </c>
      <c r="GW780" s="1554" t="str">
        <f t="shared" si="185"/>
        <v/>
      </c>
      <c r="GX780" s="1554" t="str">
        <f t="shared" si="186"/>
        <v/>
      </c>
      <c r="GY780" s="1554" t="str">
        <f t="shared" si="187"/>
        <v/>
      </c>
      <c r="GZ780" s="1554" t="str">
        <f t="shared" si="188"/>
        <v/>
      </c>
      <c r="HA780" s="1554" t="str">
        <f t="shared" si="189"/>
        <v/>
      </c>
      <c r="HB780" s="1554" t="str">
        <f t="shared" si="190"/>
        <v/>
      </c>
      <c r="HC780" s="1554" t="str">
        <f t="shared" si="191"/>
        <v/>
      </c>
      <c r="HD780" s="1554" t="str">
        <f t="shared" si="192"/>
        <v/>
      </c>
      <c r="HE780" s="1554" t="str">
        <f t="shared" si="193"/>
        <v/>
      </c>
      <c r="HF780" s="1554" t="str">
        <f t="shared" si="194"/>
        <v/>
      </c>
      <c r="HG780" s="1554" t="str">
        <f t="shared" si="195"/>
        <v/>
      </c>
      <c r="HH780" s="1554" t="str">
        <f t="shared" si="196"/>
        <v/>
      </c>
      <c r="HI780" s="1554" t="str">
        <f t="shared" si="197"/>
        <v/>
      </c>
      <c r="HJ780" s="1554" t="str">
        <f t="shared" si="198"/>
        <v/>
      </c>
      <c r="HK780" s="1554" t="str">
        <f t="shared" si="199"/>
        <v/>
      </c>
      <c r="HL780" s="1554" t="str">
        <f t="shared" si="200"/>
        <v/>
      </c>
      <c r="HM780" s="1554" t="str">
        <f t="shared" si="201"/>
        <v/>
      </c>
      <c r="HN780" s="1554" t="str">
        <f t="shared" si="202"/>
        <v/>
      </c>
      <c r="HO780" s="1554" t="str">
        <f t="shared" si="203"/>
        <v/>
      </c>
      <c r="HP780" s="1554" t="str">
        <f t="shared" si="204"/>
        <v/>
      </c>
      <c r="HQ780" s="1554" t="str">
        <f t="shared" si="205"/>
        <v/>
      </c>
      <c r="HR780" s="1554" t="str">
        <f t="shared" si="206"/>
        <v/>
      </c>
      <c r="HS780" s="1554" t="str">
        <f t="shared" si="207"/>
        <v/>
      </c>
      <c r="HT780" s="1554" t="str">
        <f t="shared" si="208"/>
        <v/>
      </c>
      <c r="HU780" s="1554" t="str">
        <f t="shared" si="209"/>
        <v/>
      </c>
      <c r="HV780" s="1554" t="str">
        <f t="shared" si="210"/>
        <v/>
      </c>
      <c r="HW780" s="1554" t="str">
        <f t="shared" si="211"/>
        <v/>
      </c>
      <c r="HX780" s="1554" t="str">
        <f t="shared" si="212"/>
        <v/>
      </c>
      <c r="HY780" s="1554" t="str">
        <f t="shared" si="213"/>
        <v/>
      </c>
      <c r="HZ780" s="1554" t="str">
        <f t="shared" si="214"/>
        <v/>
      </c>
      <c r="IA780" s="1554" t="str">
        <f t="shared" si="215"/>
        <v/>
      </c>
      <c r="IB780" s="1554" t="str">
        <f t="shared" si="216"/>
        <v/>
      </c>
      <c r="IC780" s="1554" t="str">
        <f t="shared" si="217"/>
        <v/>
      </c>
      <c r="ID780" s="31" t="str">
        <f t="shared" si="218"/>
        <v/>
      </c>
      <c r="IE780" s="31" t="str">
        <f t="shared" si="219"/>
        <v/>
      </c>
      <c r="IF780" s="31" t="str">
        <f t="shared" si="220"/>
        <v/>
      </c>
      <c r="IG780" s="31" t="str">
        <f t="shared" si="221"/>
        <v/>
      </c>
      <c r="IH780" s="31" t="str">
        <f t="shared" si="222"/>
        <v/>
      </c>
      <c r="II780" s="531" t="str">
        <f t="shared" si="223"/>
        <v/>
      </c>
      <c r="IJ780" s="531" t="str">
        <f t="shared" si="224"/>
        <v/>
      </c>
      <c r="IK780" s="531" t="str">
        <f t="shared" si="225"/>
        <v/>
      </c>
      <c r="IL780" s="531" t="str">
        <f t="shared" si="226"/>
        <v/>
      </c>
      <c r="IM780" s="531" t="str">
        <f t="shared" si="227"/>
        <v/>
      </c>
      <c r="IN780" s="531" t="str">
        <f t="shared" si="228"/>
        <v/>
      </c>
      <c r="IO780" s="531" t="str">
        <f t="shared" si="229"/>
        <v/>
      </c>
      <c r="IP780" s="531" t="str">
        <f t="shared" si="230"/>
        <v/>
      </c>
      <c r="IQ780" s="531" t="str">
        <f t="shared" si="231"/>
        <v/>
      </c>
      <c r="IR780" s="531" t="str">
        <f t="shared" si="232"/>
        <v/>
      </c>
      <c r="IS780" s="531" t="str">
        <f t="shared" si="233"/>
        <v/>
      </c>
      <c r="IT780" s="531" t="str">
        <f t="shared" si="234"/>
        <v/>
      </c>
      <c r="IU780" s="531" t="str">
        <f t="shared" si="235"/>
        <v/>
      </c>
      <c r="IV780" s="531" t="str">
        <f t="shared" si="236"/>
        <v/>
      </c>
      <c r="IW780" s="531" t="str">
        <f t="shared" si="237"/>
        <v/>
      </c>
      <c r="IX780" s="531" t="str">
        <f t="shared" si="238"/>
        <v/>
      </c>
      <c r="IY780" s="531" t="str">
        <f t="shared" si="239"/>
        <v/>
      </c>
      <c r="IZ780" s="531" t="str">
        <f t="shared" si="240"/>
        <v/>
      </c>
      <c r="JA780" s="531" t="str">
        <f t="shared" si="241"/>
        <v/>
      </c>
      <c r="JB780" s="531" t="str">
        <f t="shared" si="242"/>
        <v/>
      </c>
      <c r="JC780" s="615">
        <f t="shared" si="243"/>
        <v>0</v>
      </c>
      <c r="JD780" s="615">
        <f t="shared" si="244"/>
        <v>0</v>
      </c>
      <c r="JE780" s="615">
        <f t="shared" si="245"/>
        <v>0</v>
      </c>
      <c r="JF780" s="615">
        <f t="shared" si="246"/>
        <v>0</v>
      </c>
      <c r="JG780" s="615">
        <f t="shared" si="247"/>
        <v>0</v>
      </c>
      <c r="JH780" s="615">
        <f t="shared" si="248"/>
        <v>0</v>
      </c>
      <c r="JI780" s="615">
        <f t="shared" si="249"/>
        <v>0</v>
      </c>
      <c r="JJ780" s="615">
        <f t="shared" si="250"/>
        <v>0</v>
      </c>
      <c r="JK780" s="615">
        <f t="shared" si="251"/>
        <v>0</v>
      </c>
      <c r="JL780" s="615">
        <f t="shared" si="252"/>
        <v>0</v>
      </c>
      <c r="JM780" s="615">
        <f t="shared" si="253"/>
        <v>0</v>
      </c>
      <c r="JN780" s="615">
        <f t="shared" si="254"/>
        <v>0</v>
      </c>
      <c r="JO780" s="615">
        <f t="shared" si="255"/>
        <v>0</v>
      </c>
      <c r="JP780" s="615">
        <f t="shared" si="256"/>
        <v>0</v>
      </c>
      <c r="JQ780" s="615">
        <f t="shared" si="257"/>
        <v>0</v>
      </c>
    </row>
    <row r="781" spans="1:277" ht="12" customHeight="1">
      <c r="A781" s="1190" t="str">
        <f t="shared" si="0"/>
        <v/>
      </c>
      <c r="B781" s="1545" t="str">
        <f>'Part VI-Revenues &amp; Expenses'!B38</f>
        <v>&lt;&lt;Select&gt;&gt;</v>
      </c>
      <c r="C781" s="1546">
        <f>'Part VI-Revenues &amp; Expenses'!C38</f>
        <v>0</v>
      </c>
      <c r="D781" s="1547">
        <f>'Part VI-Revenues &amp; Expenses'!D38</f>
        <v>0</v>
      </c>
      <c r="E781" s="1548">
        <f>'Part VI-Revenues &amp; Expenses'!E38</f>
        <v>0</v>
      </c>
      <c r="F781" s="1548">
        <f>'Part VI-Revenues &amp; Expenses'!F38</f>
        <v>0</v>
      </c>
      <c r="G781" s="1548">
        <f>'Part VI-Revenues &amp; Expenses'!G38</f>
        <v>0</v>
      </c>
      <c r="H781" s="1548">
        <f>'Part VI-Revenues &amp; Expenses'!H38</f>
        <v>0</v>
      </c>
      <c r="I781" s="1548">
        <f>'Part VI-Revenues &amp; Expenses'!I38</f>
        <v>0</v>
      </c>
      <c r="J781" s="1549">
        <f>'Part VI-Revenues &amp; Expenses'!J38</f>
        <v>0</v>
      </c>
      <c r="K781" s="1550">
        <f t="shared" si="1"/>
        <v>0</v>
      </c>
      <c r="L781" s="1550">
        <f t="shared" si="2"/>
        <v>0</v>
      </c>
      <c r="M781" s="1551">
        <f>'Part VI-Revenues &amp; Expenses'!M38</f>
        <v>0</v>
      </c>
      <c r="N781" s="1551">
        <f>'Part VI-Revenues &amp; Expenses'!N38</f>
        <v>0</v>
      </c>
      <c r="O781" s="1551">
        <f>'Part VI-Revenues &amp; Expenses'!O38</f>
        <v>0</v>
      </c>
      <c r="P781" s="1406">
        <f>'Part VI-Revenues &amp; Expenses'!P38</f>
        <v>0</v>
      </c>
      <c r="Q781" s="1552" t="str">
        <f>'Part VI-Revenues &amp; Expenses'!Q38</f>
        <v/>
      </c>
      <c r="R781" s="1553" t="str">
        <f>'Part VI-Revenues &amp; Expenses'!R38</f>
        <v/>
      </c>
      <c r="S781" s="1552">
        <f>'Part VI-Revenues &amp; Expenses'!S38</f>
        <v>0</v>
      </c>
      <c r="T781" s="1553">
        <f>'Part VI-Revenues &amp; Expenses'!T38</f>
        <v>0</v>
      </c>
      <c r="U781" s="1477"/>
      <c r="V781" s="1477"/>
      <c r="W781" s="531" t="str">
        <f t="shared" si="3"/>
        <v/>
      </c>
      <c r="X781" s="531" t="str">
        <f t="shared" si="4"/>
        <v/>
      </c>
      <c r="Y781" s="531" t="str">
        <f t="shared" si="5"/>
        <v/>
      </c>
      <c r="Z781" s="531" t="str">
        <f t="shared" si="6"/>
        <v/>
      </c>
      <c r="AA781" s="531" t="str">
        <f t="shared" si="7"/>
        <v/>
      </c>
      <c r="AB781" s="531" t="str">
        <f t="shared" si="8"/>
        <v/>
      </c>
      <c r="AC781" s="531" t="str">
        <f t="shared" si="9"/>
        <v/>
      </c>
      <c r="AD781" s="531" t="str">
        <f t="shared" si="10"/>
        <v/>
      </c>
      <c r="AE781" s="531" t="str">
        <f t="shared" si="11"/>
        <v/>
      </c>
      <c r="AF781" s="531" t="str">
        <f t="shared" si="12"/>
        <v/>
      </c>
      <c r="AG781" s="531" t="str">
        <f t="shared" si="13"/>
        <v/>
      </c>
      <c r="AH781" s="531" t="str">
        <f t="shared" si="14"/>
        <v/>
      </c>
      <c r="AI781" s="531" t="str">
        <f t="shared" si="15"/>
        <v/>
      </c>
      <c r="AJ781" s="531" t="str">
        <f t="shared" si="16"/>
        <v/>
      </c>
      <c r="AK781" s="531" t="str">
        <f t="shared" si="17"/>
        <v/>
      </c>
      <c r="AL781" s="531" t="str">
        <f t="shared" si="18"/>
        <v/>
      </c>
      <c r="AM781" s="531" t="str">
        <f t="shared" si="19"/>
        <v/>
      </c>
      <c r="AN781" s="531" t="str">
        <f t="shared" si="20"/>
        <v/>
      </c>
      <c r="AO781" s="531" t="str">
        <f t="shared" si="21"/>
        <v/>
      </c>
      <c r="AP781" s="531" t="str">
        <f t="shared" si="22"/>
        <v/>
      </c>
      <c r="AQ781" s="531" t="str">
        <f t="shared" si="23"/>
        <v/>
      </c>
      <c r="AR781" s="531" t="str">
        <f t="shared" si="24"/>
        <v/>
      </c>
      <c r="AS781" s="531" t="str">
        <f t="shared" si="25"/>
        <v/>
      </c>
      <c r="AT781" s="531" t="str">
        <f t="shared" si="26"/>
        <v/>
      </c>
      <c r="AU781" s="531" t="str">
        <f t="shared" si="27"/>
        <v/>
      </c>
      <c r="AV781" s="531" t="str">
        <f t="shared" si="28"/>
        <v/>
      </c>
      <c r="AW781" s="531" t="str">
        <f t="shared" si="29"/>
        <v/>
      </c>
      <c r="AX781" s="531" t="str">
        <f t="shared" si="30"/>
        <v/>
      </c>
      <c r="AY781" s="531" t="str">
        <f t="shared" si="31"/>
        <v/>
      </c>
      <c r="AZ781" s="531" t="str">
        <f t="shared" si="32"/>
        <v/>
      </c>
      <c r="BA781" s="531" t="str">
        <f t="shared" si="33"/>
        <v/>
      </c>
      <c r="BB781" s="531" t="str">
        <f t="shared" si="34"/>
        <v/>
      </c>
      <c r="BC781" s="531" t="str">
        <f t="shared" si="35"/>
        <v/>
      </c>
      <c r="BD781" s="531" t="str">
        <f t="shared" si="36"/>
        <v/>
      </c>
      <c r="BE781" s="531" t="str">
        <f t="shared" si="37"/>
        <v/>
      </c>
      <c r="BF781" s="531" t="str">
        <f t="shared" si="38"/>
        <v/>
      </c>
      <c r="BG781" s="531" t="str">
        <f t="shared" si="39"/>
        <v/>
      </c>
      <c r="BH781" s="531" t="str">
        <f t="shared" si="40"/>
        <v/>
      </c>
      <c r="BI781" s="531" t="str">
        <f t="shared" si="41"/>
        <v/>
      </c>
      <c r="BJ781" s="531" t="str">
        <f t="shared" si="42"/>
        <v/>
      </c>
      <c r="BK781" s="531" t="str">
        <f t="shared" si="43"/>
        <v/>
      </c>
      <c r="BL781" s="531" t="str">
        <f t="shared" si="44"/>
        <v/>
      </c>
      <c r="BM781" s="531" t="str">
        <f t="shared" si="45"/>
        <v/>
      </c>
      <c r="BN781" s="531" t="str">
        <f t="shared" si="46"/>
        <v/>
      </c>
      <c r="BO781" s="531" t="str">
        <f t="shared" si="47"/>
        <v/>
      </c>
      <c r="BP781" s="531" t="str">
        <f t="shared" si="48"/>
        <v/>
      </c>
      <c r="BQ781" s="531" t="str">
        <f t="shared" si="49"/>
        <v/>
      </c>
      <c r="BR781" s="531" t="str">
        <f t="shared" si="50"/>
        <v/>
      </c>
      <c r="BS781" s="531" t="str">
        <f t="shared" si="51"/>
        <v/>
      </c>
      <c r="BT781" s="531" t="str">
        <f t="shared" si="52"/>
        <v/>
      </c>
      <c r="BU781" s="531" t="str">
        <f t="shared" si="53"/>
        <v/>
      </c>
      <c r="BV781" s="531" t="str">
        <f t="shared" si="54"/>
        <v/>
      </c>
      <c r="BW781" s="531" t="str">
        <f t="shared" si="55"/>
        <v/>
      </c>
      <c r="BX781" s="531" t="str">
        <f t="shared" si="56"/>
        <v/>
      </c>
      <c r="BY781" s="531" t="str">
        <f t="shared" si="57"/>
        <v/>
      </c>
      <c r="BZ781" s="531" t="str">
        <f t="shared" si="58"/>
        <v/>
      </c>
      <c r="CA781" s="531" t="str">
        <f t="shared" si="59"/>
        <v/>
      </c>
      <c r="CB781" s="531" t="str">
        <f t="shared" si="60"/>
        <v/>
      </c>
      <c r="CC781" s="531" t="str">
        <f t="shared" si="61"/>
        <v/>
      </c>
      <c r="CD781" s="531" t="str">
        <f t="shared" si="62"/>
        <v/>
      </c>
      <c r="CE781" s="531" t="str">
        <f t="shared" si="63"/>
        <v/>
      </c>
      <c r="CF781" s="531" t="str">
        <f t="shared" si="64"/>
        <v/>
      </c>
      <c r="CG781" s="531" t="str">
        <f t="shared" si="65"/>
        <v/>
      </c>
      <c r="CH781" s="531" t="str">
        <f t="shared" si="66"/>
        <v/>
      </c>
      <c r="CI781" s="531" t="str">
        <f t="shared" si="67"/>
        <v/>
      </c>
      <c r="CJ781" s="531" t="str">
        <f t="shared" si="68"/>
        <v/>
      </c>
      <c r="CK781" s="531" t="str">
        <f t="shared" si="69"/>
        <v/>
      </c>
      <c r="CL781" s="531" t="str">
        <f t="shared" si="70"/>
        <v/>
      </c>
      <c r="CM781" s="531" t="str">
        <f t="shared" si="71"/>
        <v/>
      </c>
      <c r="CN781" s="531" t="str">
        <f t="shared" si="72"/>
        <v/>
      </c>
      <c r="CO781" s="531" t="str">
        <f t="shared" si="73"/>
        <v/>
      </c>
      <c r="CP781" s="531" t="str">
        <f t="shared" si="74"/>
        <v/>
      </c>
      <c r="CQ781" s="531" t="str">
        <f t="shared" si="75"/>
        <v/>
      </c>
      <c r="CR781" s="531" t="str">
        <f t="shared" si="76"/>
        <v/>
      </c>
      <c r="CS781" s="531" t="str">
        <f t="shared" si="77"/>
        <v/>
      </c>
      <c r="CT781" s="531" t="str">
        <f t="shared" si="78"/>
        <v/>
      </c>
      <c r="CU781" s="531" t="str">
        <f t="shared" si="79"/>
        <v/>
      </c>
      <c r="CV781" s="531" t="str">
        <f t="shared" si="80"/>
        <v/>
      </c>
      <c r="CW781" s="531" t="str">
        <f t="shared" si="81"/>
        <v/>
      </c>
      <c r="CX781" s="531" t="str">
        <f t="shared" si="82"/>
        <v/>
      </c>
      <c r="CY781" s="531" t="str">
        <f t="shared" si="83"/>
        <v/>
      </c>
      <c r="CZ781" s="531" t="str">
        <f t="shared" si="84"/>
        <v/>
      </c>
      <c r="DA781" s="531" t="str">
        <f t="shared" si="85"/>
        <v/>
      </c>
      <c r="DB781" s="531" t="str">
        <f t="shared" si="86"/>
        <v/>
      </c>
      <c r="DC781" s="531" t="str">
        <f t="shared" si="87"/>
        <v/>
      </c>
      <c r="DD781" s="531" t="str">
        <f t="shared" si="88"/>
        <v/>
      </c>
      <c r="DE781" s="531" t="str">
        <f t="shared" si="89"/>
        <v/>
      </c>
      <c r="DF781" s="531" t="str">
        <f t="shared" si="90"/>
        <v/>
      </c>
      <c r="DG781" s="531" t="str">
        <f t="shared" si="91"/>
        <v/>
      </c>
      <c r="DH781" s="531" t="str">
        <f t="shared" si="92"/>
        <v/>
      </c>
      <c r="DI781" s="531" t="str">
        <f t="shared" si="93"/>
        <v/>
      </c>
      <c r="DJ781" s="531" t="str">
        <f t="shared" si="94"/>
        <v/>
      </c>
      <c r="DK781" s="531" t="str">
        <f t="shared" si="95"/>
        <v/>
      </c>
      <c r="DL781" s="531" t="str">
        <f t="shared" si="96"/>
        <v/>
      </c>
      <c r="DM781" s="531" t="str">
        <f t="shared" si="97"/>
        <v/>
      </c>
      <c r="DN781" s="531" t="str">
        <f t="shared" si="98"/>
        <v/>
      </c>
      <c r="DO781" s="531" t="str">
        <f t="shared" si="99"/>
        <v/>
      </c>
      <c r="DP781" s="531" t="str">
        <f t="shared" si="100"/>
        <v/>
      </c>
      <c r="DQ781" s="531" t="str">
        <f t="shared" si="101"/>
        <v/>
      </c>
      <c r="DR781" s="531" t="str">
        <f t="shared" si="102"/>
        <v/>
      </c>
      <c r="DS781" s="531" t="str">
        <f t="shared" si="103"/>
        <v/>
      </c>
      <c r="DT781" s="531" t="str">
        <f t="shared" si="104"/>
        <v/>
      </c>
      <c r="DU781" s="531" t="str">
        <f t="shared" si="105"/>
        <v/>
      </c>
      <c r="DV781" s="531" t="str">
        <f t="shared" si="106"/>
        <v/>
      </c>
      <c r="DW781" s="531" t="str">
        <f t="shared" si="107"/>
        <v/>
      </c>
      <c r="DX781" s="531" t="str">
        <f t="shared" si="108"/>
        <v/>
      </c>
      <c r="DY781" s="531" t="str">
        <f t="shared" si="109"/>
        <v/>
      </c>
      <c r="DZ781" s="531" t="str">
        <f t="shared" si="110"/>
        <v/>
      </c>
      <c r="EA781" s="531" t="str">
        <f t="shared" si="111"/>
        <v/>
      </c>
      <c r="EB781" s="531" t="str">
        <f t="shared" si="112"/>
        <v/>
      </c>
      <c r="EC781" s="531" t="str">
        <f t="shared" si="113"/>
        <v/>
      </c>
      <c r="ED781" s="531" t="str">
        <f t="shared" si="114"/>
        <v/>
      </c>
      <c r="EE781" s="531" t="str">
        <f t="shared" si="115"/>
        <v/>
      </c>
      <c r="EF781" s="531" t="str">
        <f t="shared" si="116"/>
        <v/>
      </c>
      <c r="EG781" s="531" t="str">
        <f t="shared" si="117"/>
        <v/>
      </c>
      <c r="EH781" s="531" t="str">
        <f t="shared" si="118"/>
        <v/>
      </c>
      <c r="EI781" s="531" t="str">
        <f t="shared" si="119"/>
        <v/>
      </c>
      <c r="EJ781" s="531" t="str">
        <f t="shared" si="120"/>
        <v/>
      </c>
      <c r="EK781" s="531" t="str">
        <f t="shared" si="121"/>
        <v/>
      </c>
      <c r="EL781" s="531" t="str">
        <f t="shared" si="122"/>
        <v/>
      </c>
      <c r="EM781" s="531" t="str">
        <f t="shared" si="123"/>
        <v/>
      </c>
      <c r="EN781" s="531" t="str">
        <f t="shared" si="124"/>
        <v/>
      </c>
      <c r="EO781" s="531" t="str">
        <f t="shared" si="125"/>
        <v/>
      </c>
      <c r="EP781" s="531" t="str">
        <f t="shared" si="126"/>
        <v/>
      </c>
      <c r="EQ781" s="531" t="str">
        <f t="shared" si="127"/>
        <v/>
      </c>
      <c r="ER781" s="531" t="str">
        <f t="shared" si="128"/>
        <v/>
      </c>
      <c r="ES781" s="531" t="str">
        <f t="shared" si="129"/>
        <v/>
      </c>
      <c r="ET781" s="531" t="str">
        <f t="shared" si="130"/>
        <v/>
      </c>
      <c r="EU781" s="531" t="str">
        <f t="shared" si="131"/>
        <v/>
      </c>
      <c r="EV781" s="531" t="str">
        <f t="shared" si="132"/>
        <v/>
      </c>
      <c r="EW781" s="1554" t="str">
        <f t="shared" si="133"/>
        <v/>
      </c>
      <c r="EX781" s="1554" t="str">
        <f t="shared" si="134"/>
        <v/>
      </c>
      <c r="EY781" s="1554" t="str">
        <f t="shared" si="135"/>
        <v/>
      </c>
      <c r="EZ781" s="1554" t="str">
        <f t="shared" si="136"/>
        <v/>
      </c>
      <c r="FA781" s="1554" t="str">
        <f t="shared" si="137"/>
        <v/>
      </c>
      <c r="FB781" s="1554" t="str">
        <f t="shared" si="138"/>
        <v/>
      </c>
      <c r="FC781" s="1554" t="str">
        <f t="shared" si="139"/>
        <v/>
      </c>
      <c r="FD781" s="1554" t="str">
        <f t="shared" si="140"/>
        <v/>
      </c>
      <c r="FE781" s="1554" t="str">
        <f t="shared" si="141"/>
        <v/>
      </c>
      <c r="FF781" s="1554" t="str">
        <f t="shared" si="142"/>
        <v/>
      </c>
      <c r="FG781" s="1554" t="str">
        <f t="shared" si="143"/>
        <v/>
      </c>
      <c r="FH781" s="1554" t="str">
        <f t="shared" si="144"/>
        <v/>
      </c>
      <c r="FI781" s="1554" t="str">
        <f t="shared" si="145"/>
        <v/>
      </c>
      <c r="FJ781" s="1554" t="str">
        <f t="shared" si="146"/>
        <v/>
      </c>
      <c r="FK781" s="1554" t="str">
        <f t="shared" si="147"/>
        <v/>
      </c>
      <c r="FL781" s="1554" t="str">
        <f t="shared" si="148"/>
        <v/>
      </c>
      <c r="FM781" s="1554" t="str">
        <f t="shared" si="149"/>
        <v/>
      </c>
      <c r="FN781" s="1554" t="str">
        <f t="shared" si="150"/>
        <v/>
      </c>
      <c r="FO781" s="1554" t="str">
        <f t="shared" si="151"/>
        <v/>
      </c>
      <c r="FP781" s="1554" t="str">
        <f t="shared" si="152"/>
        <v/>
      </c>
      <c r="FQ781" s="1554" t="str">
        <f t="shared" si="153"/>
        <v/>
      </c>
      <c r="FR781" s="1554" t="str">
        <f t="shared" si="154"/>
        <v/>
      </c>
      <c r="FS781" s="1554" t="str">
        <f t="shared" si="155"/>
        <v/>
      </c>
      <c r="FT781" s="1554" t="str">
        <f t="shared" si="156"/>
        <v/>
      </c>
      <c r="FU781" s="1554" t="str">
        <f t="shared" si="157"/>
        <v/>
      </c>
      <c r="FV781" s="1554" t="str">
        <f t="shared" si="158"/>
        <v/>
      </c>
      <c r="FW781" s="1554" t="str">
        <f t="shared" si="159"/>
        <v/>
      </c>
      <c r="FX781" s="1554" t="str">
        <f t="shared" si="160"/>
        <v/>
      </c>
      <c r="FY781" s="1554" t="str">
        <f t="shared" si="161"/>
        <v/>
      </c>
      <c r="FZ781" s="1554" t="str">
        <f t="shared" si="162"/>
        <v/>
      </c>
      <c r="GA781" s="1554" t="str">
        <f t="shared" si="163"/>
        <v/>
      </c>
      <c r="GB781" s="1554" t="str">
        <f t="shared" si="164"/>
        <v/>
      </c>
      <c r="GC781" s="1554" t="str">
        <f t="shared" si="165"/>
        <v/>
      </c>
      <c r="GD781" s="1554" t="str">
        <f t="shared" si="166"/>
        <v/>
      </c>
      <c r="GE781" s="1554" t="str">
        <f t="shared" si="167"/>
        <v/>
      </c>
      <c r="GF781" s="1554" t="str">
        <f t="shared" si="168"/>
        <v/>
      </c>
      <c r="GG781" s="1554" t="str">
        <f t="shared" si="169"/>
        <v/>
      </c>
      <c r="GH781" s="1554" t="str">
        <f t="shared" si="170"/>
        <v/>
      </c>
      <c r="GI781" s="1554" t="str">
        <f t="shared" si="171"/>
        <v/>
      </c>
      <c r="GJ781" s="1554" t="str">
        <f t="shared" si="172"/>
        <v/>
      </c>
      <c r="GK781" s="1554" t="str">
        <f t="shared" si="173"/>
        <v/>
      </c>
      <c r="GL781" s="1554" t="str">
        <f t="shared" si="174"/>
        <v/>
      </c>
      <c r="GM781" s="1554" t="str">
        <f t="shared" si="175"/>
        <v/>
      </c>
      <c r="GN781" s="1554" t="str">
        <f t="shared" si="176"/>
        <v/>
      </c>
      <c r="GO781" s="1554" t="str">
        <f t="shared" si="177"/>
        <v/>
      </c>
      <c r="GP781" s="1554" t="str">
        <f t="shared" si="178"/>
        <v/>
      </c>
      <c r="GQ781" s="1554" t="str">
        <f t="shared" si="179"/>
        <v/>
      </c>
      <c r="GR781" s="1554" t="str">
        <f t="shared" si="180"/>
        <v/>
      </c>
      <c r="GS781" s="1554" t="str">
        <f t="shared" si="181"/>
        <v/>
      </c>
      <c r="GT781" s="1554" t="str">
        <f t="shared" si="182"/>
        <v/>
      </c>
      <c r="GU781" s="1554" t="str">
        <f t="shared" si="183"/>
        <v/>
      </c>
      <c r="GV781" s="1554" t="str">
        <f t="shared" si="184"/>
        <v/>
      </c>
      <c r="GW781" s="1554" t="str">
        <f t="shared" si="185"/>
        <v/>
      </c>
      <c r="GX781" s="1554" t="str">
        <f t="shared" si="186"/>
        <v/>
      </c>
      <c r="GY781" s="1554" t="str">
        <f t="shared" si="187"/>
        <v/>
      </c>
      <c r="GZ781" s="1554" t="str">
        <f t="shared" si="188"/>
        <v/>
      </c>
      <c r="HA781" s="1554" t="str">
        <f t="shared" si="189"/>
        <v/>
      </c>
      <c r="HB781" s="1554" t="str">
        <f t="shared" si="190"/>
        <v/>
      </c>
      <c r="HC781" s="1554" t="str">
        <f t="shared" si="191"/>
        <v/>
      </c>
      <c r="HD781" s="1554" t="str">
        <f t="shared" si="192"/>
        <v/>
      </c>
      <c r="HE781" s="1554" t="str">
        <f t="shared" si="193"/>
        <v/>
      </c>
      <c r="HF781" s="1554" t="str">
        <f t="shared" si="194"/>
        <v/>
      </c>
      <c r="HG781" s="1554" t="str">
        <f t="shared" si="195"/>
        <v/>
      </c>
      <c r="HH781" s="1554" t="str">
        <f t="shared" si="196"/>
        <v/>
      </c>
      <c r="HI781" s="1554" t="str">
        <f t="shared" si="197"/>
        <v/>
      </c>
      <c r="HJ781" s="1554" t="str">
        <f t="shared" si="198"/>
        <v/>
      </c>
      <c r="HK781" s="1554" t="str">
        <f t="shared" si="199"/>
        <v/>
      </c>
      <c r="HL781" s="1554" t="str">
        <f t="shared" si="200"/>
        <v/>
      </c>
      <c r="HM781" s="1554" t="str">
        <f t="shared" si="201"/>
        <v/>
      </c>
      <c r="HN781" s="1554" t="str">
        <f t="shared" si="202"/>
        <v/>
      </c>
      <c r="HO781" s="1554" t="str">
        <f t="shared" si="203"/>
        <v/>
      </c>
      <c r="HP781" s="1554" t="str">
        <f t="shared" si="204"/>
        <v/>
      </c>
      <c r="HQ781" s="1554" t="str">
        <f t="shared" si="205"/>
        <v/>
      </c>
      <c r="HR781" s="1554" t="str">
        <f t="shared" si="206"/>
        <v/>
      </c>
      <c r="HS781" s="1554" t="str">
        <f t="shared" si="207"/>
        <v/>
      </c>
      <c r="HT781" s="1554" t="str">
        <f t="shared" si="208"/>
        <v/>
      </c>
      <c r="HU781" s="1554" t="str">
        <f t="shared" si="209"/>
        <v/>
      </c>
      <c r="HV781" s="1554" t="str">
        <f t="shared" si="210"/>
        <v/>
      </c>
      <c r="HW781" s="1554" t="str">
        <f t="shared" si="211"/>
        <v/>
      </c>
      <c r="HX781" s="1554" t="str">
        <f t="shared" si="212"/>
        <v/>
      </c>
      <c r="HY781" s="1554" t="str">
        <f t="shared" si="213"/>
        <v/>
      </c>
      <c r="HZ781" s="1554" t="str">
        <f t="shared" si="214"/>
        <v/>
      </c>
      <c r="IA781" s="1554" t="str">
        <f t="shared" si="215"/>
        <v/>
      </c>
      <c r="IB781" s="1554" t="str">
        <f t="shared" si="216"/>
        <v/>
      </c>
      <c r="IC781" s="1554" t="str">
        <f t="shared" si="217"/>
        <v/>
      </c>
      <c r="ID781" s="31" t="str">
        <f t="shared" si="218"/>
        <v/>
      </c>
      <c r="IE781" s="31" t="str">
        <f t="shared" si="219"/>
        <v/>
      </c>
      <c r="IF781" s="31" t="str">
        <f t="shared" si="220"/>
        <v/>
      </c>
      <c r="IG781" s="31" t="str">
        <f t="shared" si="221"/>
        <v/>
      </c>
      <c r="IH781" s="31" t="str">
        <f t="shared" si="222"/>
        <v/>
      </c>
      <c r="II781" s="531" t="str">
        <f t="shared" si="223"/>
        <v/>
      </c>
      <c r="IJ781" s="531" t="str">
        <f t="shared" si="224"/>
        <v/>
      </c>
      <c r="IK781" s="531" t="str">
        <f t="shared" si="225"/>
        <v/>
      </c>
      <c r="IL781" s="531" t="str">
        <f t="shared" si="226"/>
        <v/>
      </c>
      <c r="IM781" s="531" t="str">
        <f t="shared" si="227"/>
        <v/>
      </c>
      <c r="IN781" s="531" t="str">
        <f t="shared" si="228"/>
        <v/>
      </c>
      <c r="IO781" s="531" t="str">
        <f t="shared" si="229"/>
        <v/>
      </c>
      <c r="IP781" s="531" t="str">
        <f t="shared" si="230"/>
        <v/>
      </c>
      <c r="IQ781" s="531" t="str">
        <f t="shared" si="231"/>
        <v/>
      </c>
      <c r="IR781" s="531" t="str">
        <f t="shared" si="232"/>
        <v/>
      </c>
      <c r="IS781" s="531" t="str">
        <f t="shared" si="233"/>
        <v/>
      </c>
      <c r="IT781" s="531" t="str">
        <f t="shared" si="234"/>
        <v/>
      </c>
      <c r="IU781" s="531" t="str">
        <f t="shared" si="235"/>
        <v/>
      </c>
      <c r="IV781" s="531" t="str">
        <f t="shared" si="236"/>
        <v/>
      </c>
      <c r="IW781" s="531" t="str">
        <f t="shared" si="237"/>
        <v/>
      </c>
      <c r="IX781" s="531" t="str">
        <f t="shared" si="238"/>
        <v/>
      </c>
      <c r="IY781" s="531" t="str">
        <f t="shared" si="239"/>
        <v/>
      </c>
      <c r="IZ781" s="531" t="str">
        <f t="shared" si="240"/>
        <v/>
      </c>
      <c r="JA781" s="531" t="str">
        <f t="shared" si="241"/>
        <v/>
      </c>
      <c r="JB781" s="531" t="str">
        <f t="shared" si="242"/>
        <v/>
      </c>
      <c r="JC781" s="615">
        <f t="shared" si="243"/>
        <v>0</v>
      </c>
      <c r="JD781" s="615">
        <f t="shared" si="244"/>
        <v>0</v>
      </c>
      <c r="JE781" s="615">
        <f t="shared" si="245"/>
        <v>0</v>
      </c>
      <c r="JF781" s="615">
        <f t="shared" si="246"/>
        <v>0</v>
      </c>
      <c r="JG781" s="615">
        <f t="shared" si="247"/>
        <v>0</v>
      </c>
      <c r="JH781" s="615">
        <f t="shared" si="248"/>
        <v>0</v>
      </c>
      <c r="JI781" s="615">
        <f t="shared" si="249"/>
        <v>0</v>
      </c>
      <c r="JJ781" s="615">
        <f t="shared" si="250"/>
        <v>0</v>
      </c>
      <c r="JK781" s="615">
        <f t="shared" si="251"/>
        <v>0</v>
      </c>
      <c r="JL781" s="615">
        <f t="shared" si="252"/>
        <v>0</v>
      </c>
      <c r="JM781" s="615">
        <f t="shared" si="253"/>
        <v>0</v>
      </c>
      <c r="JN781" s="615">
        <f t="shared" si="254"/>
        <v>0</v>
      </c>
      <c r="JO781" s="615">
        <f t="shared" si="255"/>
        <v>0</v>
      </c>
      <c r="JP781" s="615">
        <f t="shared" si="256"/>
        <v>0</v>
      </c>
      <c r="JQ781" s="615">
        <f t="shared" si="257"/>
        <v>0</v>
      </c>
    </row>
    <row r="782" spans="1:277" ht="12" customHeight="1">
      <c r="A782" s="1190" t="str">
        <f t="shared" si="0"/>
        <v/>
      </c>
      <c r="B782" s="1545" t="str">
        <f>'Part VI-Revenues &amp; Expenses'!B39</f>
        <v>&lt;&lt;Select&gt;&gt;</v>
      </c>
      <c r="C782" s="1546">
        <f>'Part VI-Revenues &amp; Expenses'!C39</f>
        <v>0</v>
      </c>
      <c r="D782" s="1547">
        <f>'Part VI-Revenues &amp; Expenses'!D39</f>
        <v>0</v>
      </c>
      <c r="E782" s="1548">
        <f>'Part VI-Revenues &amp; Expenses'!E39</f>
        <v>0</v>
      </c>
      <c r="F782" s="1548">
        <f>'Part VI-Revenues &amp; Expenses'!F39</f>
        <v>0</v>
      </c>
      <c r="G782" s="1548">
        <f>'Part VI-Revenues &amp; Expenses'!G39</f>
        <v>0</v>
      </c>
      <c r="H782" s="1548">
        <f>'Part VI-Revenues &amp; Expenses'!H39</f>
        <v>0</v>
      </c>
      <c r="I782" s="1548">
        <f>'Part VI-Revenues &amp; Expenses'!I39</f>
        <v>0</v>
      </c>
      <c r="J782" s="1549">
        <f>'Part VI-Revenues &amp; Expenses'!J39</f>
        <v>0</v>
      </c>
      <c r="K782" s="1550">
        <f t="shared" si="1"/>
        <v>0</v>
      </c>
      <c r="L782" s="1550">
        <f t="shared" si="2"/>
        <v>0</v>
      </c>
      <c r="M782" s="1551">
        <f>'Part VI-Revenues &amp; Expenses'!M39</f>
        <v>0</v>
      </c>
      <c r="N782" s="1551">
        <f>'Part VI-Revenues &amp; Expenses'!N39</f>
        <v>0</v>
      </c>
      <c r="O782" s="1551">
        <f>'Part VI-Revenues &amp; Expenses'!O39</f>
        <v>0</v>
      </c>
      <c r="P782" s="1406">
        <f>'Part VI-Revenues &amp; Expenses'!P39</f>
        <v>0</v>
      </c>
      <c r="Q782" s="1552" t="str">
        <f>'Part VI-Revenues &amp; Expenses'!Q39</f>
        <v/>
      </c>
      <c r="R782" s="1553" t="str">
        <f>'Part VI-Revenues &amp; Expenses'!R39</f>
        <v/>
      </c>
      <c r="S782" s="1552">
        <f>'Part VI-Revenues &amp; Expenses'!S39</f>
        <v>0</v>
      </c>
      <c r="T782" s="1553">
        <f>'Part VI-Revenues &amp; Expenses'!T39</f>
        <v>0</v>
      </c>
      <c r="U782" s="1477"/>
      <c r="V782" s="1477"/>
      <c r="W782" s="531" t="str">
        <f t="shared" si="3"/>
        <v/>
      </c>
      <c r="X782" s="531" t="str">
        <f t="shared" si="4"/>
        <v/>
      </c>
      <c r="Y782" s="531" t="str">
        <f t="shared" si="5"/>
        <v/>
      </c>
      <c r="Z782" s="531" t="str">
        <f t="shared" si="6"/>
        <v/>
      </c>
      <c r="AA782" s="531" t="str">
        <f t="shared" si="7"/>
        <v/>
      </c>
      <c r="AB782" s="531" t="str">
        <f t="shared" si="8"/>
        <v/>
      </c>
      <c r="AC782" s="531" t="str">
        <f t="shared" si="9"/>
        <v/>
      </c>
      <c r="AD782" s="531" t="str">
        <f t="shared" si="10"/>
        <v/>
      </c>
      <c r="AE782" s="531" t="str">
        <f t="shared" si="11"/>
        <v/>
      </c>
      <c r="AF782" s="531" t="str">
        <f t="shared" si="12"/>
        <v/>
      </c>
      <c r="AG782" s="531" t="str">
        <f t="shared" si="13"/>
        <v/>
      </c>
      <c r="AH782" s="531" t="str">
        <f t="shared" si="14"/>
        <v/>
      </c>
      <c r="AI782" s="531" t="str">
        <f t="shared" si="15"/>
        <v/>
      </c>
      <c r="AJ782" s="531" t="str">
        <f t="shared" si="16"/>
        <v/>
      </c>
      <c r="AK782" s="531" t="str">
        <f t="shared" si="17"/>
        <v/>
      </c>
      <c r="AL782" s="531" t="str">
        <f t="shared" si="18"/>
        <v/>
      </c>
      <c r="AM782" s="531" t="str">
        <f t="shared" si="19"/>
        <v/>
      </c>
      <c r="AN782" s="531" t="str">
        <f t="shared" si="20"/>
        <v/>
      </c>
      <c r="AO782" s="531" t="str">
        <f t="shared" si="21"/>
        <v/>
      </c>
      <c r="AP782" s="531" t="str">
        <f t="shared" si="22"/>
        <v/>
      </c>
      <c r="AQ782" s="531" t="str">
        <f t="shared" si="23"/>
        <v/>
      </c>
      <c r="AR782" s="531" t="str">
        <f t="shared" si="24"/>
        <v/>
      </c>
      <c r="AS782" s="531" t="str">
        <f t="shared" si="25"/>
        <v/>
      </c>
      <c r="AT782" s="531" t="str">
        <f t="shared" si="26"/>
        <v/>
      </c>
      <c r="AU782" s="531" t="str">
        <f t="shared" si="27"/>
        <v/>
      </c>
      <c r="AV782" s="531" t="str">
        <f t="shared" si="28"/>
        <v/>
      </c>
      <c r="AW782" s="531" t="str">
        <f t="shared" si="29"/>
        <v/>
      </c>
      <c r="AX782" s="531" t="str">
        <f t="shared" si="30"/>
        <v/>
      </c>
      <c r="AY782" s="531" t="str">
        <f t="shared" si="31"/>
        <v/>
      </c>
      <c r="AZ782" s="531" t="str">
        <f t="shared" si="32"/>
        <v/>
      </c>
      <c r="BA782" s="531" t="str">
        <f t="shared" si="33"/>
        <v/>
      </c>
      <c r="BB782" s="531" t="str">
        <f t="shared" si="34"/>
        <v/>
      </c>
      <c r="BC782" s="531" t="str">
        <f t="shared" si="35"/>
        <v/>
      </c>
      <c r="BD782" s="531" t="str">
        <f t="shared" si="36"/>
        <v/>
      </c>
      <c r="BE782" s="531" t="str">
        <f t="shared" si="37"/>
        <v/>
      </c>
      <c r="BF782" s="531" t="str">
        <f t="shared" si="38"/>
        <v/>
      </c>
      <c r="BG782" s="531" t="str">
        <f t="shared" si="39"/>
        <v/>
      </c>
      <c r="BH782" s="531" t="str">
        <f t="shared" si="40"/>
        <v/>
      </c>
      <c r="BI782" s="531" t="str">
        <f t="shared" si="41"/>
        <v/>
      </c>
      <c r="BJ782" s="531" t="str">
        <f t="shared" si="42"/>
        <v/>
      </c>
      <c r="BK782" s="531" t="str">
        <f t="shared" si="43"/>
        <v/>
      </c>
      <c r="BL782" s="531" t="str">
        <f t="shared" si="44"/>
        <v/>
      </c>
      <c r="BM782" s="531" t="str">
        <f t="shared" si="45"/>
        <v/>
      </c>
      <c r="BN782" s="531" t="str">
        <f t="shared" si="46"/>
        <v/>
      </c>
      <c r="BO782" s="531" t="str">
        <f t="shared" si="47"/>
        <v/>
      </c>
      <c r="BP782" s="531" t="str">
        <f t="shared" si="48"/>
        <v/>
      </c>
      <c r="BQ782" s="531" t="str">
        <f t="shared" si="49"/>
        <v/>
      </c>
      <c r="BR782" s="531" t="str">
        <f t="shared" si="50"/>
        <v/>
      </c>
      <c r="BS782" s="531" t="str">
        <f t="shared" si="51"/>
        <v/>
      </c>
      <c r="BT782" s="531" t="str">
        <f t="shared" si="52"/>
        <v/>
      </c>
      <c r="BU782" s="531" t="str">
        <f t="shared" si="53"/>
        <v/>
      </c>
      <c r="BV782" s="531" t="str">
        <f t="shared" si="54"/>
        <v/>
      </c>
      <c r="BW782" s="531" t="str">
        <f t="shared" si="55"/>
        <v/>
      </c>
      <c r="BX782" s="531" t="str">
        <f t="shared" si="56"/>
        <v/>
      </c>
      <c r="BY782" s="531" t="str">
        <f t="shared" si="57"/>
        <v/>
      </c>
      <c r="BZ782" s="531" t="str">
        <f t="shared" si="58"/>
        <v/>
      </c>
      <c r="CA782" s="531" t="str">
        <f t="shared" si="59"/>
        <v/>
      </c>
      <c r="CB782" s="531" t="str">
        <f t="shared" si="60"/>
        <v/>
      </c>
      <c r="CC782" s="531" t="str">
        <f t="shared" si="61"/>
        <v/>
      </c>
      <c r="CD782" s="531" t="str">
        <f t="shared" si="62"/>
        <v/>
      </c>
      <c r="CE782" s="531" t="str">
        <f t="shared" si="63"/>
        <v/>
      </c>
      <c r="CF782" s="531" t="str">
        <f t="shared" si="64"/>
        <v/>
      </c>
      <c r="CG782" s="531" t="str">
        <f t="shared" si="65"/>
        <v/>
      </c>
      <c r="CH782" s="531" t="str">
        <f t="shared" si="66"/>
        <v/>
      </c>
      <c r="CI782" s="531" t="str">
        <f t="shared" si="67"/>
        <v/>
      </c>
      <c r="CJ782" s="531" t="str">
        <f t="shared" si="68"/>
        <v/>
      </c>
      <c r="CK782" s="531" t="str">
        <f t="shared" si="69"/>
        <v/>
      </c>
      <c r="CL782" s="531" t="str">
        <f t="shared" si="70"/>
        <v/>
      </c>
      <c r="CM782" s="531" t="str">
        <f t="shared" si="71"/>
        <v/>
      </c>
      <c r="CN782" s="531" t="str">
        <f t="shared" si="72"/>
        <v/>
      </c>
      <c r="CO782" s="531" t="str">
        <f t="shared" si="73"/>
        <v/>
      </c>
      <c r="CP782" s="531" t="str">
        <f t="shared" si="74"/>
        <v/>
      </c>
      <c r="CQ782" s="531" t="str">
        <f t="shared" si="75"/>
        <v/>
      </c>
      <c r="CR782" s="531" t="str">
        <f t="shared" si="76"/>
        <v/>
      </c>
      <c r="CS782" s="531" t="str">
        <f t="shared" si="77"/>
        <v/>
      </c>
      <c r="CT782" s="531" t="str">
        <f t="shared" si="78"/>
        <v/>
      </c>
      <c r="CU782" s="531" t="str">
        <f t="shared" si="79"/>
        <v/>
      </c>
      <c r="CV782" s="531" t="str">
        <f t="shared" si="80"/>
        <v/>
      </c>
      <c r="CW782" s="531" t="str">
        <f t="shared" si="81"/>
        <v/>
      </c>
      <c r="CX782" s="531" t="str">
        <f t="shared" si="82"/>
        <v/>
      </c>
      <c r="CY782" s="531" t="str">
        <f t="shared" si="83"/>
        <v/>
      </c>
      <c r="CZ782" s="531" t="str">
        <f t="shared" si="84"/>
        <v/>
      </c>
      <c r="DA782" s="531" t="str">
        <f t="shared" si="85"/>
        <v/>
      </c>
      <c r="DB782" s="531" t="str">
        <f t="shared" si="86"/>
        <v/>
      </c>
      <c r="DC782" s="531" t="str">
        <f t="shared" si="87"/>
        <v/>
      </c>
      <c r="DD782" s="531" t="str">
        <f t="shared" si="88"/>
        <v/>
      </c>
      <c r="DE782" s="531" t="str">
        <f t="shared" si="89"/>
        <v/>
      </c>
      <c r="DF782" s="531" t="str">
        <f t="shared" si="90"/>
        <v/>
      </c>
      <c r="DG782" s="531" t="str">
        <f t="shared" si="91"/>
        <v/>
      </c>
      <c r="DH782" s="531" t="str">
        <f t="shared" si="92"/>
        <v/>
      </c>
      <c r="DI782" s="531" t="str">
        <f t="shared" si="93"/>
        <v/>
      </c>
      <c r="DJ782" s="531" t="str">
        <f t="shared" si="94"/>
        <v/>
      </c>
      <c r="DK782" s="531" t="str">
        <f t="shared" si="95"/>
        <v/>
      </c>
      <c r="DL782" s="531" t="str">
        <f t="shared" si="96"/>
        <v/>
      </c>
      <c r="DM782" s="531" t="str">
        <f t="shared" si="97"/>
        <v/>
      </c>
      <c r="DN782" s="531" t="str">
        <f t="shared" si="98"/>
        <v/>
      </c>
      <c r="DO782" s="531" t="str">
        <f t="shared" si="99"/>
        <v/>
      </c>
      <c r="DP782" s="531" t="str">
        <f t="shared" si="100"/>
        <v/>
      </c>
      <c r="DQ782" s="531" t="str">
        <f t="shared" si="101"/>
        <v/>
      </c>
      <c r="DR782" s="531" t="str">
        <f t="shared" si="102"/>
        <v/>
      </c>
      <c r="DS782" s="531" t="str">
        <f t="shared" si="103"/>
        <v/>
      </c>
      <c r="DT782" s="531" t="str">
        <f t="shared" si="104"/>
        <v/>
      </c>
      <c r="DU782" s="531" t="str">
        <f t="shared" si="105"/>
        <v/>
      </c>
      <c r="DV782" s="531" t="str">
        <f t="shared" si="106"/>
        <v/>
      </c>
      <c r="DW782" s="531" t="str">
        <f t="shared" si="107"/>
        <v/>
      </c>
      <c r="DX782" s="531" t="str">
        <f t="shared" si="108"/>
        <v/>
      </c>
      <c r="DY782" s="531" t="str">
        <f t="shared" si="109"/>
        <v/>
      </c>
      <c r="DZ782" s="531" t="str">
        <f t="shared" si="110"/>
        <v/>
      </c>
      <c r="EA782" s="531" t="str">
        <f t="shared" si="111"/>
        <v/>
      </c>
      <c r="EB782" s="531" t="str">
        <f t="shared" si="112"/>
        <v/>
      </c>
      <c r="EC782" s="531" t="str">
        <f t="shared" si="113"/>
        <v/>
      </c>
      <c r="ED782" s="531" t="str">
        <f t="shared" si="114"/>
        <v/>
      </c>
      <c r="EE782" s="531" t="str">
        <f t="shared" si="115"/>
        <v/>
      </c>
      <c r="EF782" s="531" t="str">
        <f t="shared" si="116"/>
        <v/>
      </c>
      <c r="EG782" s="531" t="str">
        <f t="shared" si="117"/>
        <v/>
      </c>
      <c r="EH782" s="531" t="str">
        <f t="shared" si="118"/>
        <v/>
      </c>
      <c r="EI782" s="531" t="str">
        <f t="shared" si="119"/>
        <v/>
      </c>
      <c r="EJ782" s="531" t="str">
        <f t="shared" si="120"/>
        <v/>
      </c>
      <c r="EK782" s="531" t="str">
        <f t="shared" si="121"/>
        <v/>
      </c>
      <c r="EL782" s="531" t="str">
        <f t="shared" si="122"/>
        <v/>
      </c>
      <c r="EM782" s="531" t="str">
        <f t="shared" si="123"/>
        <v/>
      </c>
      <c r="EN782" s="531" t="str">
        <f t="shared" si="124"/>
        <v/>
      </c>
      <c r="EO782" s="531" t="str">
        <f t="shared" si="125"/>
        <v/>
      </c>
      <c r="EP782" s="531" t="str">
        <f t="shared" si="126"/>
        <v/>
      </c>
      <c r="EQ782" s="531" t="str">
        <f t="shared" si="127"/>
        <v/>
      </c>
      <c r="ER782" s="531" t="str">
        <f t="shared" si="128"/>
        <v/>
      </c>
      <c r="ES782" s="531" t="str">
        <f t="shared" si="129"/>
        <v/>
      </c>
      <c r="ET782" s="531" t="str">
        <f t="shared" si="130"/>
        <v/>
      </c>
      <c r="EU782" s="531" t="str">
        <f t="shared" si="131"/>
        <v/>
      </c>
      <c r="EV782" s="531" t="str">
        <f t="shared" si="132"/>
        <v/>
      </c>
      <c r="EW782" s="1554" t="str">
        <f t="shared" si="133"/>
        <v/>
      </c>
      <c r="EX782" s="1554" t="str">
        <f t="shared" si="134"/>
        <v/>
      </c>
      <c r="EY782" s="1554" t="str">
        <f t="shared" si="135"/>
        <v/>
      </c>
      <c r="EZ782" s="1554" t="str">
        <f t="shared" si="136"/>
        <v/>
      </c>
      <c r="FA782" s="1554" t="str">
        <f t="shared" si="137"/>
        <v/>
      </c>
      <c r="FB782" s="1554" t="str">
        <f t="shared" si="138"/>
        <v/>
      </c>
      <c r="FC782" s="1554" t="str">
        <f t="shared" si="139"/>
        <v/>
      </c>
      <c r="FD782" s="1554" t="str">
        <f t="shared" si="140"/>
        <v/>
      </c>
      <c r="FE782" s="1554" t="str">
        <f t="shared" si="141"/>
        <v/>
      </c>
      <c r="FF782" s="1554" t="str">
        <f t="shared" si="142"/>
        <v/>
      </c>
      <c r="FG782" s="1554" t="str">
        <f t="shared" si="143"/>
        <v/>
      </c>
      <c r="FH782" s="1554" t="str">
        <f t="shared" si="144"/>
        <v/>
      </c>
      <c r="FI782" s="1554" t="str">
        <f t="shared" si="145"/>
        <v/>
      </c>
      <c r="FJ782" s="1554" t="str">
        <f t="shared" si="146"/>
        <v/>
      </c>
      <c r="FK782" s="1554" t="str">
        <f t="shared" si="147"/>
        <v/>
      </c>
      <c r="FL782" s="1554" t="str">
        <f t="shared" si="148"/>
        <v/>
      </c>
      <c r="FM782" s="1554" t="str">
        <f t="shared" si="149"/>
        <v/>
      </c>
      <c r="FN782" s="1554" t="str">
        <f t="shared" si="150"/>
        <v/>
      </c>
      <c r="FO782" s="1554" t="str">
        <f t="shared" si="151"/>
        <v/>
      </c>
      <c r="FP782" s="1554" t="str">
        <f t="shared" si="152"/>
        <v/>
      </c>
      <c r="FQ782" s="1554" t="str">
        <f t="shared" si="153"/>
        <v/>
      </c>
      <c r="FR782" s="1554" t="str">
        <f t="shared" si="154"/>
        <v/>
      </c>
      <c r="FS782" s="1554" t="str">
        <f t="shared" si="155"/>
        <v/>
      </c>
      <c r="FT782" s="1554" t="str">
        <f t="shared" si="156"/>
        <v/>
      </c>
      <c r="FU782" s="1554" t="str">
        <f t="shared" si="157"/>
        <v/>
      </c>
      <c r="FV782" s="1554" t="str">
        <f t="shared" si="158"/>
        <v/>
      </c>
      <c r="FW782" s="1554" t="str">
        <f t="shared" si="159"/>
        <v/>
      </c>
      <c r="FX782" s="1554" t="str">
        <f t="shared" si="160"/>
        <v/>
      </c>
      <c r="FY782" s="1554" t="str">
        <f t="shared" si="161"/>
        <v/>
      </c>
      <c r="FZ782" s="1554" t="str">
        <f t="shared" si="162"/>
        <v/>
      </c>
      <c r="GA782" s="1554" t="str">
        <f t="shared" si="163"/>
        <v/>
      </c>
      <c r="GB782" s="1554" t="str">
        <f t="shared" si="164"/>
        <v/>
      </c>
      <c r="GC782" s="1554" t="str">
        <f t="shared" si="165"/>
        <v/>
      </c>
      <c r="GD782" s="1554" t="str">
        <f t="shared" si="166"/>
        <v/>
      </c>
      <c r="GE782" s="1554" t="str">
        <f t="shared" si="167"/>
        <v/>
      </c>
      <c r="GF782" s="1554" t="str">
        <f t="shared" si="168"/>
        <v/>
      </c>
      <c r="GG782" s="1554" t="str">
        <f t="shared" si="169"/>
        <v/>
      </c>
      <c r="GH782" s="1554" t="str">
        <f t="shared" si="170"/>
        <v/>
      </c>
      <c r="GI782" s="1554" t="str">
        <f t="shared" si="171"/>
        <v/>
      </c>
      <c r="GJ782" s="1554" t="str">
        <f t="shared" si="172"/>
        <v/>
      </c>
      <c r="GK782" s="1554" t="str">
        <f t="shared" si="173"/>
        <v/>
      </c>
      <c r="GL782" s="1554" t="str">
        <f t="shared" si="174"/>
        <v/>
      </c>
      <c r="GM782" s="1554" t="str">
        <f t="shared" si="175"/>
        <v/>
      </c>
      <c r="GN782" s="1554" t="str">
        <f t="shared" si="176"/>
        <v/>
      </c>
      <c r="GO782" s="1554" t="str">
        <f t="shared" si="177"/>
        <v/>
      </c>
      <c r="GP782" s="1554" t="str">
        <f t="shared" si="178"/>
        <v/>
      </c>
      <c r="GQ782" s="1554" t="str">
        <f t="shared" si="179"/>
        <v/>
      </c>
      <c r="GR782" s="1554" t="str">
        <f t="shared" si="180"/>
        <v/>
      </c>
      <c r="GS782" s="1554" t="str">
        <f t="shared" si="181"/>
        <v/>
      </c>
      <c r="GT782" s="1554" t="str">
        <f t="shared" si="182"/>
        <v/>
      </c>
      <c r="GU782" s="1554" t="str">
        <f t="shared" si="183"/>
        <v/>
      </c>
      <c r="GV782" s="1554" t="str">
        <f t="shared" si="184"/>
        <v/>
      </c>
      <c r="GW782" s="1554" t="str">
        <f t="shared" si="185"/>
        <v/>
      </c>
      <c r="GX782" s="1554" t="str">
        <f t="shared" si="186"/>
        <v/>
      </c>
      <c r="GY782" s="1554" t="str">
        <f t="shared" si="187"/>
        <v/>
      </c>
      <c r="GZ782" s="1554" t="str">
        <f t="shared" si="188"/>
        <v/>
      </c>
      <c r="HA782" s="1554" t="str">
        <f t="shared" si="189"/>
        <v/>
      </c>
      <c r="HB782" s="1554" t="str">
        <f t="shared" si="190"/>
        <v/>
      </c>
      <c r="HC782" s="1554" t="str">
        <f t="shared" si="191"/>
        <v/>
      </c>
      <c r="HD782" s="1554" t="str">
        <f t="shared" si="192"/>
        <v/>
      </c>
      <c r="HE782" s="1554" t="str">
        <f t="shared" si="193"/>
        <v/>
      </c>
      <c r="HF782" s="1554" t="str">
        <f t="shared" si="194"/>
        <v/>
      </c>
      <c r="HG782" s="1554" t="str">
        <f t="shared" si="195"/>
        <v/>
      </c>
      <c r="HH782" s="1554" t="str">
        <f t="shared" si="196"/>
        <v/>
      </c>
      <c r="HI782" s="1554" t="str">
        <f t="shared" si="197"/>
        <v/>
      </c>
      <c r="HJ782" s="1554" t="str">
        <f t="shared" si="198"/>
        <v/>
      </c>
      <c r="HK782" s="1554" t="str">
        <f t="shared" si="199"/>
        <v/>
      </c>
      <c r="HL782" s="1554" t="str">
        <f t="shared" si="200"/>
        <v/>
      </c>
      <c r="HM782" s="1554" t="str">
        <f t="shared" si="201"/>
        <v/>
      </c>
      <c r="HN782" s="1554" t="str">
        <f t="shared" si="202"/>
        <v/>
      </c>
      <c r="HO782" s="1554" t="str">
        <f t="shared" si="203"/>
        <v/>
      </c>
      <c r="HP782" s="1554" t="str">
        <f t="shared" si="204"/>
        <v/>
      </c>
      <c r="HQ782" s="1554" t="str">
        <f t="shared" si="205"/>
        <v/>
      </c>
      <c r="HR782" s="1554" t="str">
        <f t="shared" si="206"/>
        <v/>
      </c>
      <c r="HS782" s="1554" t="str">
        <f t="shared" si="207"/>
        <v/>
      </c>
      <c r="HT782" s="1554" t="str">
        <f t="shared" si="208"/>
        <v/>
      </c>
      <c r="HU782" s="1554" t="str">
        <f t="shared" si="209"/>
        <v/>
      </c>
      <c r="HV782" s="1554" t="str">
        <f t="shared" si="210"/>
        <v/>
      </c>
      <c r="HW782" s="1554" t="str">
        <f t="shared" si="211"/>
        <v/>
      </c>
      <c r="HX782" s="1554" t="str">
        <f t="shared" si="212"/>
        <v/>
      </c>
      <c r="HY782" s="1554" t="str">
        <f t="shared" si="213"/>
        <v/>
      </c>
      <c r="HZ782" s="1554" t="str">
        <f t="shared" si="214"/>
        <v/>
      </c>
      <c r="IA782" s="1554" t="str">
        <f t="shared" si="215"/>
        <v/>
      </c>
      <c r="IB782" s="1554" t="str">
        <f t="shared" si="216"/>
        <v/>
      </c>
      <c r="IC782" s="1554" t="str">
        <f t="shared" si="217"/>
        <v/>
      </c>
      <c r="ID782" s="31" t="str">
        <f t="shared" si="218"/>
        <v/>
      </c>
      <c r="IE782" s="31" t="str">
        <f t="shared" si="219"/>
        <v/>
      </c>
      <c r="IF782" s="31" t="str">
        <f t="shared" si="220"/>
        <v/>
      </c>
      <c r="IG782" s="31" t="str">
        <f t="shared" si="221"/>
        <v/>
      </c>
      <c r="IH782" s="31" t="str">
        <f t="shared" si="222"/>
        <v/>
      </c>
      <c r="II782" s="531" t="str">
        <f t="shared" si="223"/>
        <v/>
      </c>
      <c r="IJ782" s="531" t="str">
        <f t="shared" si="224"/>
        <v/>
      </c>
      <c r="IK782" s="531" t="str">
        <f t="shared" si="225"/>
        <v/>
      </c>
      <c r="IL782" s="531" t="str">
        <f t="shared" si="226"/>
        <v/>
      </c>
      <c r="IM782" s="531" t="str">
        <f t="shared" si="227"/>
        <v/>
      </c>
      <c r="IN782" s="531" t="str">
        <f t="shared" si="228"/>
        <v/>
      </c>
      <c r="IO782" s="531" t="str">
        <f t="shared" si="229"/>
        <v/>
      </c>
      <c r="IP782" s="531" t="str">
        <f t="shared" si="230"/>
        <v/>
      </c>
      <c r="IQ782" s="531" t="str">
        <f t="shared" si="231"/>
        <v/>
      </c>
      <c r="IR782" s="531" t="str">
        <f t="shared" si="232"/>
        <v/>
      </c>
      <c r="IS782" s="531" t="str">
        <f t="shared" si="233"/>
        <v/>
      </c>
      <c r="IT782" s="531" t="str">
        <f t="shared" si="234"/>
        <v/>
      </c>
      <c r="IU782" s="531" t="str">
        <f t="shared" si="235"/>
        <v/>
      </c>
      <c r="IV782" s="531" t="str">
        <f t="shared" si="236"/>
        <v/>
      </c>
      <c r="IW782" s="531" t="str">
        <f t="shared" si="237"/>
        <v/>
      </c>
      <c r="IX782" s="531" t="str">
        <f t="shared" si="238"/>
        <v/>
      </c>
      <c r="IY782" s="531" t="str">
        <f t="shared" si="239"/>
        <v/>
      </c>
      <c r="IZ782" s="531" t="str">
        <f t="shared" si="240"/>
        <v/>
      </c>
      <c r="JA782" s="531" t="str">
        <f t="shared" si="241"/>
        <v/>
      </c>
      <c r="JB782" s="531" t="str">
        <f t="shared" si="242"/>
        <v/>
      </c>
      <c r="JC782" s="615">
        <f t="shared" si="243"/>
        <v>0</v>
      </c>
      <c r="JD782" s="615">
        <f t="shared" si="244"/>
        <v>0</v>
      </c>
      <c r="JE782" s="615">
        <f t="shared" si="245"/>
        <v>0</v>
      </c>
      <c r="JF782" s="615">
        <f t="shared" si="246"/>
        <v>0</v>
      </c>
      <c r="JG782" s="615">
        <f t="shared" si="247"/>
        <v>0</v>
      </c>
      <c r="JH782" s="615">
        <f t="shared" si="248"/>
        <v>0</v>
      </c>
      <c r="JI782" s="615">
        <f t="shared" si="249"/>
        <v>0</v>
      </c>
      <c r="JJ782" s="615">
        <f t="shared" si="250"/>
        <v>0</v>
      </c>
      <c r="JK782" s="615">
        <f t="shared" si="251"/>
        <v>0</v>
      </c>
      <c r="JL782" s="615">
        <f t="shared" si="252"/>
        <v>0</v>
      </c>
      <c r="JM782" s="615">
        <f t="shared" si="253"/>
        <v>0</v>
      </c>
      <c r="JN782" s="615">
        <f t="shared" si="254"/>
        <v>0</v>
      </c>
      <c r="JO782" s="615">
        <f t="shared" si="255"/>
        <v>0</v>
      </c>
      <c r="JP782" s="615">
        <f t="shared" si="256"/>
        <v>0</v>
      </c>
      <c r="JQ782" s="615">
        <f t="shared" si="257"/>
        <v>0</v>
      </c>
    </row>
    <row r="783" spans="1:277" ht="12" customHeight="1">
      <c r="A783" s="1190" t="str">
        <f t="shared" si="0"/>
        <v/>
      </c>
      <c r="B783" s="1545" t="str">
        <f>'Part VI-Revenues &amp; Expenses'!B40</f>
        <v>&lt;&lt;Select&gt;&gt;</v>
      </c>
      <c r="C783" s="1546">
        <f>'Part VI-Revenues &amp; Expenses'!C40</f>
        <v>0</v>
      </c>
      <c r="D783" s="1547">
        <f>'Part VI-Revenues &amp; Expenses'!D40</f>
        <v>0</v>
      </c>
      <c r="E783" s="1548">
        <f>'Part VI-Revenues &amp; Expenses'!E40</f>
        <v>0</v>
      </c>
      <c r="F783" s="1548">
        <f>'Part VI-Revenues &amp; Expenses'!F40</f>
        <v>0</v>
      </c>
      <c r="G783" s="1548">
        <f>'Part VI-Revenues &amp; Expenses'!G40</f>
        <v>0</v>
      </c>
      <c r="H783" s="1548">
        <f>'Part VI-Revenues &amp; Expenses'!H40</f>
        <v>0</v>
      </c>
      <c r="I783" s="1548">
        <f>'Part VI-Revenues &amp; Expenses'!I40</f>
        <v>0</v>
      </c>
      <c r="J783" s="1549">
        <f>'Part VI-Revenues &amp; Expenses'!J40</f>
        <v>0</v>
      </c>
      <c r="K783" s="1550">
        <f t="shared" si="1"/>
        <v>0</v>
      </c>
      <c r="L783" s="1550">
        <f t="shared" si="2"/>
        <v>0</v>
      </c>
      <c r="M783" s="1551">
        <f>'Part VI-Revenues &amp; Expenses'!M40</f>
        <v>0</v>
      </c>
      <c r="N783" s="1551">
        <f>'Part VI-Revenues &amp; Expenses'!N40</f>
        <v>0</v>
      </c>
      <c r="O783" s="1551">
        <f>'Part VI-Revenues &amp; Expenses'!O40</f>
        <v>0</v>
      </c>
      <c r="P783" s="1406">
        <f>'Part VI-Revenues &amp; Expenses'!P40</f>
        <v>0</v>
      </c>
      <c r="Q783" s="1552" t="str">
        <f>'Part VI-Revenues &amp; Expenses'!Q40</f>
        <v/>
      </c>
      <c r="R783" s="1553" t="str">
        <f>'Part VI-Revenues &amp; Expenses'!R40</f>
        <v/>
      </c>
      <c r="S783" s="1552">
        <f>'Part VI-Revenues &amp; Expenses'!S40</f>
        <v>0</v>
      </c>
      <c r="T783" s="1553">
        <f>'Part VI-Revenues &amp; Expenses'!T40</f>
        <v>0</v>
      </c>
      <c r="U783" s="1477"/>
      <c r="V783" s="1477"/>
      <c r="W783" s="531" t="str">
        <f t="shared" si="3"/>
        <v/>
      </c>
      <c r="X783" s="531" t="str">
        <f t="shared" si="4"/>
        <v/>
      </c>
      <c r="Y783" s="531" t="str">
        <f t="shared" si="5"/>
        <v/>
      </c>
      <c r="Z783" s="531" t="str">
        <f t="shared" si="6"/>
        <v/>
      </c>
      <c r="AA783" s="531" t="str">
        <f t="shared" si="7"/>
        <v/>
      </c>
      <c r="AB783" s="531" t="str">
        <f t="shared" si="8"/>
        <v/>
      </c>
      <c r="AC783" s="531" t="str">
        <f t="shared" si="9"/>
        <v/>
      </c>
      <c r="AD783" s="531" t="str">
        <f t="shared" si="10"/>
        <v/>
      </c>
      <c r="AE783" s="531" t="str">
        <f t="shared" si="11"/>
        <v/>
      </c>
      <c r="AF783" s="531" t="str">
        <f t="shared" si="12"/>
        <v/>
      </c>
      <c r="AG783" s="531" t="str">
        <f t="shared" si="13"/>
        <v/>
      </c>
      <c r="AH783" s="531" t="str">
        <f t="shared" si="14"/>
        <v/>
      </c>
      <c r="AI783" s="531" t="str">
        <f t="shared" si="15"/>
        <v/>
      </c>
      <c r="AJ783" s="531" t="str">
        <f t="shared" si="16"/>
        <v/>
      </c>
      <c r="AK783" s="531" t="str">
        <f t="shared" si="17"/>
        <v/>
      </c>
      <c r="AL783" s="531" t="str">
        <f t="shared" si="18"/>
        <v/>
      </c>
      <c r="AM783" s="531" t="str">
        <f t="shared" si="19"/>
        <v/>
      </c>
      <c r="AN783" s="531" t="str">
        <f t="shared" si="20"/>
        <v/>
      </c>
      <c r="AO783" s="531" t="str">
        <f t="shared" si="21"/>
        <v/>
      </c>
      <c r="AP783" s="531" t="str">
        <f t="shared" si="22"/>
        <v/>
      </c>
      <c r="AQ783" s="531" t="str">
        <f t="shared" si="23"/>
        <v/>
      </c>
      <c r="AR783" s="531" t="str">
        <f t="shared" si="24"/>
        <v/>
      </c>
      <c r="AS783" s="531" t="str">
        <f t="shared" si="25"/>
        <v/>
      </c>
      <c r="AT783" s="531" t="str">
        <f t="shared" si="26"/>
        <v/>
      </c>
      <c r="AU783" s="531" t="str">
        <f t="shared" si="27"/>
        <v/>
      </c>
      <c r="AV783" s="531" t="str">
        <f t="shared" si="28"/>
        <v/>
      </c>
      <c r="AW783" s="531" t="str">
        <f t="shared" si="29"/>
        <v/>
      </c>
      <c r="AX783" s="531" t="str">
        <f t="shared" si="30"/>
        <v/>
      </c>
      <c r="AY783" s="531" t="str">
        <f t="shared" si="31"/>
        <v/>
      </c>
      <c r="AZ783" s="531" t="str">
        <f t="shared" si="32"/>
        <v/>
      </c>
      <c r="BA783" s="531" t="str">
        <f t="shared" si="33"/>
        <v/>
      </c>
      <c r="BB783" s="531" t="str">
        <f t="shared" si="34"/>
        <v/>
      </c>
      <c r="BC783" s="531" t="str">
        <f t="shared" si="35"/>
        <v/>
      </c>
      <c r="BD783" s="531" t="str">
        <f t="shared" si="36"/>
        <v/>
      </c>
      <c r="BE783" s="531" t="str">
        <f t="shared" si="37"/>
        <v/>
      </c>
      <c r="BF783" s="531" t="str">
        <f t="shared" si="38"/>
        <v/>
      </c>
      <c r="BG783" s="531" t="str">
        <f t="shared" si="39"/>
        <v/>
      </c>
      <c r="BH783" s="531" t="str">
        <f t="shared" si="40"/>
        <v/>
      </c>
      <c r="BI783" s="531" t="str">
        <f t="shared" si="41"/>
        <v/>
      </c>
      <c r="BJ783" s="531" t="str">
        <f t="shared" si="42"/>
        <v/>
      </c>
      <c r="BK783" s="531" t="str">
        <f t="shared" si="43"/>
        <v/>
      </c>
      <c r="BL783" s="531" t="str">
        <f t="shared" si="44"/>
        <v/>
      </c>
      <c r="BM783" s="531" t="str">
        <f t="shared" si="45"/>
        <v/>
      </c>
      <c r="BN783" s="531" t="str">
        <f t="shared" si="46"/>
        <v/>
      </c>
      <c r="BO783" s="531" t="str">
        <f t="shared" si="47"/>
        <v/>
      </c>
      <c r="BP783" s="531" t="str">
        <f t="shared" si="48"/>
        <v/>
      </c>
      <c r="BQ783" s="531" t="str">
        <f t="shared" si="49"/>
        <v/>
      </c>
      <c r="BR783" s="531" t="str">
        <f t="shared" si="50"/>
        <v/>
      </c>
      <c r="BS783" s="531" t="str">
        <f t="shared" si="51"/>
        <v/>
      </c>
      <c r="BT783" s="531" t="str">
        <f t="shared" si="52"/>
        <v/>
      </c>
      <c r="BU783" s="531" t="str">
        <f t="shared" si="53"/>
        <v/>
      </c>
      <c r="BV783" s="531" t="str">
        <f t="shared" si="54"/>
        <v/>
      </c>
      <c r="BW783" s="531" t="str">
        <f t="shared" si="55"/>
        <v/>
      </c>
      <c r="BX783" s="531" t="str">
        <f t="shared" si="56"/>
        <v/>
      </c>
      <c r="BY783" s="531" t="str">
        <f t="shared" si="57"/>
        <v/>
      </c>
      <c r="BZ783" s="531" t="str">
        <f t="shared" si="58"/>
        <v/>
      </c>
      <c r="CA783" s="531" t="str">
        <f t="shared" si="59"/>
        <v/>
      </c>
      <c r="CB783" s="531" t="str">
        <f t="shared" si="60"/>
        <v/>
      </c>
      <c r="CC783" s="531" t="str">
        <f t="shared" si="61"/>
        <v/>
      </c>
      <c r="CD783" s="531" t="str">
        <f t="shared" si="62"/>
        <v/>
      </c>
      <c r="CE783" s="531" t="str">
        <f t="shared" si="63"/>
        <v/>
      </c>
      <c r="CF783" s="531" t="str">
        <f t="shared" si="64"/>
        <v/>
      </c>
      <c r="CG783" s="531" t="str">
        <f t="shared" si="65"/>
        <v/>
      </c>
      <c r="CH783" s="531" t="str">
        <f t="shared" si="66"/>
        <v/>
      </c>
      <c r="CI783" s="531" t="str">
        <f t="shared" si="67"/>
        <v/>
      </c>
      <c r="CJ783" s="531" t="str">
        <f t="shared" si="68"/>
        <v/>
      </c>
      <c r="CK783" s="531" t="str">
        <f t="shared" si="69"/>
        <v/>
      </c>
      <c r="CL783" s="531" t="str">
        <f t="shared" si="70"/>
        <v/>
      </c>
      <c r="CM783" s="531" t="str">
        <f t="shared" si="71"/>
        <v/>
      </c>
      <c r="CN783" s="531" t="str">
        <f t="shared" si="72"/>
        <v/>
      </c>
      <c r="CO783" s="531" t="str">
        <f t="shared" si="73"/>
        <v/>
      </c>
      <c r="CP783" s="531" t="str">
        <f t="shared" si="74"/>
        <v/>
      </c>
      <c r="CQ783" s="531" t="str">
        <f t="shared" si="75"/>
        <v/>
      </c>
      <c r="CR783" s="531" t="str">
        <f t="shared" si="76"/>
        <v/>
      </c>
      <c r="CS783" s="531" t="str">
        <f t="shared" si="77"/>
        <v/>
      </c>
      <c r="CT783" s="531" t="str">
        <f t="shared" si="78"/>
        <v/>
      </c>
      <c r="CU783" s="531" t="str">
        <f t="shared" si="79"/>
        <v/>
      </c>
      <c r="CV783" s="531" t="str">
        <f t="shared" si="80"/>
        <v/>
      </c>
      <c r="CW783" s="531" t="str">
        <f t="shared" si="81"/>
        <v/>
      </c>
      <c r="CX783" s="531" t="str">
        <f t="shared" si="82"/>
        <v/>
      </c>
      <c r="CY783" s="531" t="str">
        <f t="shared" si="83"/>
        <v/>
      </c>
      <c r="CZ783" s="531" t="str">
        <f t="shared" si="84"/>
        <v/>
      </c>
      <c r="DA783" s="531" t="str">
        <f t="shared" si="85"/>
        <v/>
      </c>
      <c r="DB783" s="531" t="str">
        <f t="shared" si="86"/>
        <v/>
      </c>
      <c r="DC783" s="531" t="str">
        <f t="shared" si="87"/>
        <v/>
      </c>
      <c r="DD783" s="531" t="str">
        <f t="shared" si="88"/>
        <v/>
      </c>
      <c r="DE783" s="531" t="str">
        <f t="shared" si="89"/>
        <v/>
      </c>
      <c r="DF783" s="531" t="str">
        <f t="shared" si="90"/>
        <v/>
      </c>
      <c r="DG783" s="531" t="str">
        <f t="shared" si="91"/>
        <v/>
      </c>
      <c r="DH783" s="531" t="str">
        <f t="shared" si="92"/>
        <v/>
      </c>
      <c r="DI783" s="531" t="str">
        <f t="shared" si="93"/>
        <v/>
      </c>
      <c r="DJ783" s="531" t="str">
        <f t="shared" si="94"/>
        <v/>
      </c>
      <c r="DK783" s="531" t="str">
        <f t="shared" si="95"/>
        <v/>
      </c>
      <c r="DL783" s="531" t="str">
        <f t="shared" si="96"/>
        <v/>
      </c>
      <c r="DM783" s="531" t="str">
        <f t="shared" si="97"/>
        <v/>
      </c>
      <c r="DN783" s="531" t="str">
        <f t="shared" si="98"/>
        <v/>
      </c>
      <c r="DO783" s="531" t="str">
        <f t="shared" si="99"/>
        <v/>
      </c>
      <c r="DP783" s="531" t="str">
        <f t="shared" si="100"/>
        <v/>
      </c>
      <c r="DQ783" s="531" t="str">
        <f t="shared" si="101"/>
        <v/>
      </c>
      <c r="DR783" s="531" t="str">
        <f t="shared" si="102"/>
        <v/>
      </c>
      <c r="DS783" s="531" t="str">
        <f t="shared" si="103"/>
        <v/>
      </c>
      <c r="DT783" s="531" t="str">
        <f t="shared" si="104"/>
        <v/>
      </c>
      <c r="DU783" s="531" t="str">
        <f t="shared" si="105"/>
        <v/>
      </c>
      <c r="DV783" s="531" t="str">
        <f t="shared" si="106"/>
        <v/>
      </c>
      <c r="DW783" s="531" t="str">
        <f t="shared" si="107"/>
        <v/>
      </c>
      <c r="DX783" s="531" t="str">
        <f t="shared" si="108"/>
        <v/>
      </c>
      <c r="DY783" s="531" t="str">
        <f t="shared" si="109"/>
        <v/>
      </c>
      <c r="DZ783" s="531" t="str">
        <f t="shared" si="110"/>
        <v/>
      </c>
      <c r="EA783" s="531" t="str">
        <f t="shared" si="111"/>
        <v/>
      </c>
      <c r="EB783" s="531" t="str">
        <f t="shared" si="112"/>
        <v/>
      </c>
      <c r="EC783" s="531" t="str">
        <f t="shared" si="113"/>
        <v/>
      </c>
      <c r="ED783" s="531" t="str">
        <f t="shared" si="114"/>
        <v/>
      </c>
      <c r="EE783" s="531" t="str">
        <f t="shared" si="115"/>
        <v/>
      </c>
      <c r="EF783" s="531" t="str">
        <f t="shared" si="116"/>
        <v/>
      </c>
      <c r="EG783" s="531" t="str">
        <f t="shared" si="117"/>
        <v/>
      </c>
      <c r="EH783" s="531" t="str">
        <f t="shared" si="118"/>
        <v/>
      </c>
      <c r="EI783" s="531" t="str">
        <f t="shared" si="119"/>
        <v/>
      </c>
      <c r="EJ783" s="531" t="str">
        <f t="shared" si="120"/>
        <v/>
      </c>
      <c r="EK783" s="531" t="str">
        <f t="shared" si="121"/>
        <v/>
      </c>
      <c r="EL783" s="531" t="str">
        <f t="shared" si="122"/>
        <v/>
      </c>
      <c r="EM783" s="531" t="str">
        <f t="shared" si="123"/>
        <v/>
      </c>
      <c r="EN783" s="531" t="str">
        <f t="shared" si="124"/>
        <v/>
      </c>
      <c r="EO783" s="531" t="str">
        <f t="shared" si="125"/>
        <v/>
      </c>
      <c r="EP783" s="531" t="str">
        <f t="shared" si="126"/>
        <v/>
      </c>
      <c r="EQ783" s="531" t="str">
        <f t="shared" si="127"/>
        <v/>
      </c>
      <c r="ER783" s="531" t="str">
        <f t="shared" si="128"/>
        <v/>
      </c>
      <c r="ES783" s="531" t="str">
        <f t="shared" si="129"/>
        <v/>
      </c>
      <c r="ET783" s="531" t="str">
        <f t="shared" si="130"/>
        <v/>
      </c>
      <c r="EU783" s="531" t="str">
        <f t="shared" si="131"/>
        <v/>
      </c>
      <c r="EV783" s="531" t="str">
        <f t="shared" si="132"/>
        <v/>
      </c>
      <c r="EW783" s="1554" t="str">
        <f t="shared" si="133"/>
        <v/>
      </c>
      <c r="EX783" s="1554" t="str">
        <f t="shared" si="134"/>
        <v/>
      </c>
      <c r="EY783" s="1554" t="str">
        <f t="shared" si="135"/>
        <v/>
      </c>
      <c r="EZ783" s="1554" t="str">
        <f t="shared" si="136"/>
        <v/>
      </c>
      <c r="FA783" s="1554" t="str">
        <f t="shared" si="137"/>
        <v/>
      </c>
      <c r="FB783" s="1554" t="str">
        <f t="shared" si="138"/>
        <v/>
      </c>
      <c r="FC783" s="1554" t="str">
        <f t="shared" si="139"/>
        <v/>
      </c>
      <c r="FD783" s="1554" t="str">
        <f t="shared" si="140"/>
        <v/>
      </c>
      <c r="FE783" s="1554" t="str">
        <f t="shared" si="141"/>
        <v/>
      </c>
      <c r="FF783" s="1554" t="str">
        <f t="shared" si="142"/>
        <v/>
      </c>
      <c r="FG783" s="1554" t="str">
        <f t="shared" si="143"/>
        <v/>
      </c>
      <c r="FH783" s="1554" t="str">
        <f t="shared" si="144"/>
        <v/>
      </c>
      <c r="FI783" s="1554" t="str">
        <f t="shared" si="145"/>
        <v/>
      </c>
      <c r="FJ783" s="1554" t="str">
        <f t="shared" si="146"/>
        <v/>
      </c>
      <c r="FK783" s="1554" t="str">
        <f t="shared" si="147"/>
        <v/>
      </c>
      <c r="FL783" s="1554" t="str">
        <f t="shared" si="148"/>
        <v/>
      </c>
      <c r="FM783" s="1554" t="str">
        <f t="shared" si="149"/>
        <v/>
      </c>
      <c r="FN783" s="1554" t="str">
        <f t="shared" si="150"/>
        <v/>
      </c>
      <c r="FO783" s="1554" t="str">
        <f t="shared" si="151"/>
        <v/>
      </c>
      <c r="FP783" s="1554" t="str">
        <f t="shared" si="152"/>
        <v/>
      </c>
      <c r="FQ783" s="1554" t="str">
        <f t="shared" si="153"/>
        <v/>
      </c>
      <c r="FR783" s="1554" t="str">
        <f t="shared" si="154"/>
        <v/>
      </c>
      <c r="FS783" s="1554" t="str">
        <f t="shared" si="155"/>
        <v/>
      </c>
      <c r="FT783" s="1554" t="str">
        <f t="shared" si="156"/>
        <v/>
      </c>
      <c r="FU783" s="1554" t="str">
        <f t="shared" si="157"/>
        <v/>
      </c>
      <c r="FV783" s="1554" t="str">
        <f t="shared" si="158"/>
        <v/>
      </c>
      <c r="FW783" s="1554" t="str">
        <f t="shared" si="159"/>
        <v/>
      </c>
      <c r="FX783" s="1554" t="str">
        <f t="shared" si="160"/>
        <v/>
      </c>
      <c r="FY783" s="1554" t="str">
        <f t="shared" si="161"/>
        <v/>
      </c>
      <c r="FZ783" s="1554" t="str">
        <f t="shared" si="162"/>
        <v/>
      </c>
      <c r="GA783" s="1554" t="str">
        <f t="shared" si="163"/>
        <v/>
      </c>
      <c r="GB783" s="1554" t="str">
        <f t="shared" si="164"/>
        <v/>
      </c>
      <c r="GC783" s="1554" t="str">
        <f t="shared" si="165"/>
        <v/>
      </c>
      <c r="GD783" s="1554" t="str">
        <f t="shared" si="166"/>
        <v/>
      </c>
      <c r="GE783" s="1554" t="str">
        <f t="shared" si="167"/>
        <v/>
      </c>
      <c r="GF783" s="1554" t="str">
        <f t="shared" si="168"/>
        <v/>
      </c>
      <c r="GG783" s="1554" t="str">
        <f t="shared" si="169"/>
        <v/>
      </c>
      <c r="GH783" s="1554" t="str">
        <f t="shared" si="170"/>
        <v/>
      </c>
      <c r="GI783" s="1554" t="str">
        <f t="shared" si="171"/>
        <v/>
      </c>
      <c r="GJ783" s="1554" t="str">
        <f t="shared" si="172"/>
        <v/>
      </c>
      <c r="GK783" s="1554" t="str">
        <f t="shared" si="173"/>
        <v/>
      </c>
      <c r="GL783" s="1554" t="str">
        <f t="shared" si="174"/>
        <v/>
      </c>
      <c r="GM783" s="1554" t="str">
        <f t="shared" si="175"/>
        <v/>
      </c>
      <c r="GN783" s="1554" t="str">
        <f t="shared" si="176"/>
        <v/>
      </c>
      <c r="GO783" s="1554" t="str">
        <f t="shared" si="177"/>
        <v/>
      </c>
      <c r="GP783" s="1554" t="str">
        <f t="shared" si="178"/>
        <v/>
      </c>
      <c r="GQ783" s="1554" t="str">
        <f t="shared" si="179"/>
        <v/>
      </c>
      <c r="GR783" s="1554" t="str">
        <f t="shared" si="180"/>
        <v/>
      </c>
      <c r="GS783" s="1554" t="str">
        <f t="shared" si="181"/>
        <v/>
      </c>
      <c r="GT783" s="1554" t="str">
        <f t="shared" si="182"/>
        <v/>
      </c>
      <c r="GU783" s="1554" t="str">
        <f t="shared" si="183"/>
        <v/>
      </c>
      <c r="GV783" s="1554" t="str">
        <f t="shared" si="184"/>
        <v/>
      </c>
      <c r="GW783" s="1554" t="str">
        <f t="shared" si="185"/>
        <v/>
      </c>
      <c r="GX783" s="1554" t="str">
        <f t="shared" si="186"/>
        <v/>
      </c>
      <c r="GY783" s="1554" t="str">
        <f t="shared" si="187"/>
        <v/>
      </c>
      <c r="GZ783" s="1554" t="str">
        <f t="shared" si="188"/>
        <v/>
      </c>
      <c r="HA783" s="1554" t="str">
        <f t="shared" si="189"/>
        <v/>
      </c>
      <c r="HB783" s="1554" t="str">
        <f t="shared" si="190"/>
        <v/>
      </c>
      <c r="HC783" s="1554" t="str">
        <f t="shared" si="191"/>
        <v/>
      </c>
      <c r="HD783" s="1554" t="str">
        <f t="shared" si="192"/>
        <v/>
      </c>
      <c r="HE783" s="1554" t="str">
        <f t="shared" si="193"/>
        <v/>
      </c>
      <c r="HF783" s="1554" t="str">
        <f t="shared" si="194"/>
        <v/>
      </c>
      <c r="HG783" s="1554" t="str">
        <f t="shared" si="195"/>
        <v/>
      </c>
      <c r="HH783" s="1554" t="str">
        <f t="shared" si="196"/>
        <v/>
      </c>
      <c r="HI783" s="1554" t="str">
        <f t="shared" si="197"/>
        <v/>
      </c>
      <c r="HJ783" s="1554" t="str">
        <f t="shared" si="198"/>
        <v/>
      </c>
      <c r="HK783" s="1554" t="str">
        <f t="shared" si="199"/>
        <v/>
      </c>
      <c r="HL783" s="1554" t="str">
        <f t="shared" si="200"/>
        <v/>
      </c>
      <c r="HM783" s="1554" t="str">
        <f t="shared" si="201"/>
        <v/>
      </c>
      <c r="HN783" s="1554" t="str">
        <f t="shared" si="202"/>
        <v/>
      </c>
      <c r="HO783" s="1554" t="str">
        <f t="shared" si="203"/>
        <v/>
      </c>
      <c r="HP783" s="1554" t="str">
        <f t="shared" si="204"/>
        <v/>
      </c>
      <c r="HQ783" s="1554" t="str">
        <f t="shared" si="205"/>
        <v/>
      </c>
      <c r="HR783" s="1554" t="str">
        <f t="shared" si="206"/>
        <v/>
      </c>
      <c r="HS783" s="1554" t="str">
        <f t="shared" si="207"/>
        <v/>
      </c>
      <c r="HT783" s="1554" t="str">
        <f t="shared" si="208"/>
        <v/>
      </c>
      <c r="HU783" s="1554" t="str">
        <f t="shared" si="209"/>
        <v/>
      </c>
      <c r="HV783" s="1554" t="str">
        <f t="shared" si="210"/>
        <v/>
      </c>
      <c r="HW783" s="1554" t="str">
        <f t="shared" si="211"/>
        <v/>
      </c>
      <c r="HX783" s="1554" t="str">
        <f t="shared" si="212"/>
        <v/>
      </c>
      <c r="HY783" s="1554" t="str">
        <f t="shared" si="213"/>
        <v/>
      </c>
      <c r="HZ783" s="1554" t="str">
        <f t="shared" si="214"/>
        <v/>
      </c>
      <c r="IA783" s="1554" t="str">
        <f t="shared" si="215"/>
        <v/>
      </c>
      <c r="IB783" s="1554" t="str">
        <f t="shared" si="216"/>
        <v/>
      </c>
      <c r="IC783" s="1554" t="str">
        <f t="shared" si="217"/>
        <v/>
      </c>
      <c r="ID783" s="31" t="str">
        <f t="shared" si="218"/>
        <v/>
      </c>
      <c r="IE783" s="31" t="str">
        <f t="shared" si="219"/>
        <v/>
      </c>
      <c r="IF783" s="31" t="str">
        <f t="shared" si="220"/>
        <v/>
      </c>
      <c r="IG783" s="31" t="str">
        <f t="shared" si="221"/>
        <v/>
      </c>
      <c r="IH783" s="31" t="str">
        <f t="shared" si="222"/>
        <v/>
      </c>
      <c r="II783" s="531" t="str">
        <f t="shared" si="223"/>
        <v/>
      </c>
      <c r="IJ783" s="531" t="str">
        <f t="shared" si="224"/>
        <v/>
      </c>
      <c r="IK783" s="531" t="str">
        <f t="shared" si="225"/>
        <v/>
      </c>
      <c r="IL783" s="531" t="str">
        <f t="shared" si="226"/>
        <v/>
      </c>
      <c r="IM783" s="531" t="str">
        <f t="shared" si="227"/>
        <v/>
      </c>
      <c r="IN783" s="531" t="str">
        <f t="shared" si="228"/>
        <v/>
      </c>
      <c r="IO783" s="531" t="str">
        <f t="shared" si="229"/>
        <v/>
      </c>
      <c r="IP783" s="531" t="str">
        <f t="shared" si="230"/>
        <v/>
      </c>
      <c r="IQ783" s="531" t="str">
        <f t="shared" si="231"/>
        <v/>
      </c>
      <c r="IR783" s="531" t="str">
        <f t="shared" si="232"/>
        <v/>
      </c>
      <c r="IS783" s="531" t="str">
        <f t="shared" si="233"/>
        <v/>
      </c>
      <c r="IT783" s="531" t="str">
        <f t="shared" si="234"/>
        <v/>
      </c>
      <c r="IU783" s="531" t="str">
        <f t="shared" si="235"/>
        <v/>
      </c>
      <c r="IV783" s="531" t="str">
        <f t="shared" si="236"/>
        <v/>
      </c>
      <c r="IW783" s="531" t="str">
        <f t="shared" si="237"/>
        <v/>
      </c>
      <c r="IX783" s="531" t="str">
        <f t="shared" si="238"/>
        <v/>
      </c>
      <c r="IY783" s="531" t="str">
        <f t="shared" si="239"/>
        <v/>
      </c>
      <c r="IZ783" s="531" t="str">
        <f t="shared" si="240"/>
        <v/>
      </c>
      <c r="JA783" s="531" t="str">
        <f t="shared" si="241"/>
        <v/>
      </c>
      <c r="JB783" s="531" t="str">
        <f t="shared" si="242"/>
        <v/>
      </c>
      <c r="JC783" s="615">
        <f t="shared" si="243"/>
        <v>0</v>
      </c>
      <c r="JD783" s="615">
        <f t="shared" si="244"/>
        <v>0</v>
      </c>
      <c r="JE783" s="615">
        <f t="shared" si="245"/>
        <v>0</v>
      </c>
      <c r="JF783" s="615">
        <f t="shared" si="246"/>
        <v>0</v>
      </c>
      <c r="JG783" s="615">
        <f t="shared" si="247"/>
        <v>0</v>
      </c>
      <c r="JH783" s="615">
        <f t="shared" si="248"/>
        <v>0</v>
      </c>
      <c r="JI783" s="615">
        <f t="shared" si="249"/>
        <v>0</v>
      </c>
      <c r="JJ783" s="615">
        <f t="shared" si="250"/>
        <v>0</v>
      </c>
      <c r="JK783" s="615">
        <f t="shared" si="251"/>
        <v>0</v>
      </c>
      <c r="JL783" s="615">
        <f t="shared" si="252"/>
        <v>0</v>
      </c>
      <c r="JM783" s="615">
        <f t="shared" si="253"/>
        <v>0</v>
      </c>
      <c r="JN783" s="615">
        <f t="shared" si="254"/>
        <v>0</v>
      </c>
      <c r="JO783" s="615">
        <f t="shared" si="255"/>
        <v>0</v>
      </c>
      <c r="JP783" s="615">
        <f t="shared" si="256"/>
        <v>0</v>
      </c>
      <c r="JQ783" s="615">
        <f t="shared" si="257"/>
        <v>0</v>
      </c>
    </row>
    <row r="784" spans="1:277" ht="12" customHeight="1">
      <c r="A784" s="1190" t="str">
        <f t="shared" si="0"/>
        <v/>
      </c>
      <c r="B784" s="1545" t="str">
        <f>'Part VI-Revenues &amp; Expenses'!B41</f>
        <v>&lt;&lt;Select&gt;&gt;</v>
      </c>
      <c r="C784" s="1546">
        <f>'Part VI-Revenues &amp; Expenses'!C41</f>
        <v>0</v>
      </c>
      <c r="D784" s="1547">
        <f>'Part VI-Revenues &amp; Expenses'!D41</f>
        <v>0</v>
      </c>
      <c r="E784" s="1548">
        <f>'Part VI-Revenues &amp; Expenses'!E41</f>
        <v>0</v>
      </c>
      <c r="F784" s="1548">
        <f>'Part VI-Revenues &amp; Expenses'!F41</f>
        <v>0</v>
      </c>
      <c r="G784" s="1548">
        <f>'Part VI-Revenues &amp; Expenses'!G41</f>
        <v>0</v>
      </c>
      <c r="H784" s="1548">
        <f>'Part VI-Revenues &amp; Expenses'!H41</f>
        <v>0</v>
      </c>
      <c r="I784" s="1548">
        <f>'Part VI-Revenues &amp; Expenses'!I41</f>
        <v>0</v>
      </c>
      <c r="J784" s="1549">
        <f>'Part VI-Revenues &amp; Expenses'!J41</f>
        <v>0</v>
      </c>
      <c r="K784" s="1550">
        <f t="shared" si="1"/>
        <v>0</v>
      </c>
      <c r="L784" s="1550">
        <f t="shared" si="2"/>
        <v>0</v>
      </c>
      <c r="M784" s="1551">
        <f>'Part VI-Revenues &amp; Expenses'!M41</f>
        <v>0</v>
      </c>
      <c r="N784" s="1551">
        <f>'Part VI-Revenues &amp; Expenses'!N41</f>
        <v>0</v>
      </c>
      <c r="O784" s="1551">
        <f>'Part VI-Revenues &amp; Expenses'!O41</f>
        <v>0</v>
      </c>
      <c r="P784" s="1406">
        <f>'Part VI-Revenues &amp; Expenses'!P41</f>
        <v>0</v>
      </c>
      <c r="Q784" s="1552" t="str">
        <f>'Part VI-Revenues &amp; Expenses'!Q41</f>
        <v/>
      </c>
      <c r="R784" s="1553" t="str">
        <f>'Part VI-Revenues &amp; Expenses'!R41</f>
        <v/>
      </c>
      <c r="S784" s="1552">
        <f>'Part VI-Revenues &amp; Expenses'!S41</f>
        <v>0</v>
      </c>
      <c r="T784" s="1553">
        <f>'Part VI-Revenues &amp; Expenses'!T41</f>
        <v>0</v>
      </c>
      <c r="U784" s="1477"/>
      <c r="V784" s="1477"/>
      <c r="W784" s="531" t="str">
        <f t="shared" si="3"/>
        <v/>
      </c>
      <c r="X784" s="531" t="str">
        <f t="shared" si="4"/>
        <v/>
      </c>
      <c r="Y784" s="531" t="str">
        <f t="shared" si="5"/>
        <v/>
      </c>
      <c r="Z784" s="531" t="str">
        <f t="shared" si="6"/>
        <v/>
      </c>
      <c r="AA784" s="531" t="str">
        <f t="shared" si="7"/>
        <v/>
      </c>
      <c r="AB784" s="531" t="str">
        <f t="shared" si="8"/>
        <v/>
      </c>
      <c r="AC784" s="531" t="str">
        <f t="shared" si="9"/>
        <v/>
      </c>
      <c r="AD784" s="531" t="str">
        <f t="shared" si="10"/>
        <v/>
      </c>
      <c r="AE784" s="531" t="str">
        <f t="shared" si="11"/>
        <v/>
      </c>
      <c r="AF784" s="531" t="str">
        <f t="shared" si="12"/>
        <v/>
      </c>
      <c r="AG784" s="531" t="str">
        <f t="shared" si="13"/>
        <v/>
      </c>
      <c r="AH784" s="531" t="str">
        <f t="shared" si="14"/>
        <v/>
      </c>
      <c r="AI784" s="531" t="str">
        <f t="shared" si="15"/>
        <v/>
      </c>
      <c r="AJ784" s="531" t="str">
        <f t="shared" si="16"/>
        <v/>
      </c>
      <c r="AK784" s="531" t="str">
        <f t="shared" si="17"/>
        <v/>
      </c>
      <c r="AL784" s="531" t="str">
        <f t="shared" si="18"/>
        <v/>
      </c>
      <c r="AM784" s="531" t="str">
        <f t="shared" si="19"/>
        <v/>
      </c>
      <c r="AN784" s="531" t="str">
        <f t="shared" si="20"/>
        <v/>
      </c>
      <c r="AO784" s="531" t="str">
        <f t="shared" si="21"/>
        <v/>
      </c>
      <c r="AP784" s="531" t="str">
        <f t="shared" si="22"/>
        <v/>
      </c>
      <c r="AQ784" s="531" t="str">
        <f t="shared" si="23"/>
        <v/>
      </c>
      <c r="AR784" s="531" t="str">
        <f t="shared" si="24"/>
        <v/>
      </c>
      <c r="AS784" s="531" t="str">
        <f t="shared" si="25"/>
        <v/>
      </c>
      <c r="AT784" s="531" t="str">
        <f t="shared" si="26"/>
        <v/>
      </c>
      <c r="AU784" s="531" t="str">
        <f t="shared" si="27"/>
        <v/>
      </c>
      <c r="AV784" s="531" t="str">
        <f t="shared" si="28"/>
        <v/>
      </c>
      <c r="AW784" s="531" t="str">
        <f t="shared" si="29"/>
        <v/>
      </c>
      <c r="AX784" s="531" t="str">
        <f t="shared" si="30"/>
        <v/>
      </c>
      <c r="AY784" s="531" t="str">
        <f t="shared" si="31"/>
        <v/>
      </c>
      <c r="AZ784" s="531" t="str">
        <f t="shared" si="32"/>
        <v/>
      </c>
      <c r="BA784" s="531" t="str">
        <f t="shared" si="33"/>
        <v/>
      </c>
      <c r="BB784" s="531" t="str">
        <f t="shared" si="34"/>
        <v/>
      </c>
      <c r="BC784" s="531" t="str">
        <f t="shared" si="35"/>
        <v/>
      </c>
      <c r="BD784" s="531" t="str">
        <f t="shared" si="36"/>
        <v/>
      </c>
      <c r="BE784" s="531" t="str">
        <f t="shared" si="37"/>
        <v/>
      </c>
      <c r="BF784" s="531" t="str">
        <f t="shared" si="38"/>
        <v/>
      </c>
      <c r="BG784" s="531" t="str">
        <f t="shared" si="39"/>
        <v/>
      </c>
      <c r="BH784" s="531" t="str">
        <f t="shared" si="40"/>
        <v/>
      </c>
      <c r="BI784" s="531" t="str">
        <f t="shared" si="41"/>
        <v/>
      </c>
      <c r="BJ784" s="531" t="str">
        <f t="shared" si="42"/>
        <v/>
      </c>
      <c r="BK784" s="531" t="str">
        <f t="shared" si="43"/>
        <v/>
      </c>
      <c r="BL784" s="531" t="str">
        <f t="shared" si="44"/>
        <v/>
      </c>
      <c r="BM784" s="531" t="str">
        <f t="shared" si="45"/>
        <v/>
      </c>
      <c r="BN784" s="531" t="str">
        <f t="shared" si="46"/>
        <v/>
      </c>
      <c r="BO784" s="531" t="str">
        <f t="shared" si="47"/>
        <v/>
      </c>
      <c r="BP784" s="531" t="str">
        <f t="shared" si="48"/>
        <v/>
      </c>
      <c r="BQ784" s="531" t="str">
        <f t="shared" si="49"/>
        <v/>
      </c>
      <c r="BR784" s="531" t="str">
        <f t="shared" si="50"/>
        <v/>
      </c>
      <c r="BS784" s="531" t="str">
        <f t="shared" si="51"/>
        <v/>
      </c>
      <c r="BT784" s="531" t="str">
        <f t="shared" si="52"/>
        <v/>
      </c>
      <c r="BU784" s="531" t="str">
        <f t="shared" si="53"/>
        <v/>
      </c>
      <c r="BV784" s="531" t="str">
        <f t="shared" si="54"/>
        <v/>
      </c>
      <c r="BW784" s="531" t="str">
        <f t="shared" si="55"/>
        <v/>
      </c>
      <c r="BX784" s="531" t="str">
        <f t="shared" si="56"/>
        <v/>
      </c>
      <c r="BY784" s="531" t="str">
        <f t="shared" si="57"/>
        <v/>
      </c>
      <c r="BZ784" s="531" t="str">
        <f t="shared" si="58"/>
        <v/>
      </c>
      <c r="CA784" s="531" t="str">
        <f t="shared" si="59"/>
        <v/>
      </c>
      <c r="CB784" s="531" t="str">
        <f t="shared" si="60"/>
        <v/>
      </c>
      <c r="CC784" s="531" t="str">
        <f t="shared" si="61"/>
        <v/>
      </c>
      <c r="CD784" s="531" t="str">
        <f t="shared" si="62"/>
        <v/>
      </c>
      <c r="CE784" s="531" t="str">
        <f t="shared" si="63"/>
        <v/>
      </c>
      <c r="CF784" s="531" t="str">
        <f t="shared" si="64"/>
        <v/>
      </c>
      <c r="CG784" s="531" t="str">
        <f t="shared" si="65"/>
        <v/>
      </c>
      <c r="CH784" s="531" t="str">
        <f t="shared" si="66"/>
        <v/>
      </c>
      <c r="CI784" s="531" t="str">
        <f t="shared" si="67"/>
        <v/>
      </c>
      <c r="CJ784" s="531" t="str">
        <f t="shared" si="68"/>
        <v/>
      </c>
      <c r="CK784" s="531" t="str">
        <f t="shared" si="69"/>
        <v/>
      </c>
      <c r="CL784" s="531" t="str">
        <f t="shared" si="70"/>
        <v/>
      </c>
      <c r="CM784" s="531" t="str">
        <f t="shared" si="71"/>
        <v/>
      </c>
      <c r="CN784" s="531" t="str">
        <f t="shared" si="72"/>
        <v/>
      </c>
      <c r="CO784" s="531" t="str">
        <f t="shared" si="73"/>
        <v/>
      </c>
      <c r="CP784" s="531" t="str">
        <f t="shared" si="74"/>
        <v/>
      </c>
      <c r="CQ784" s="531" t="str">
        <f t="shared" si="75"/>
        <v/>
      </c>
      <c r="CR784" s="531" t="str">
        <f t="shared" si="76"/>
        <v/>
      </c>
      <c r="CS784" s="531" t="str">
        <f t="shared" si="77"/>
        <v/>
      </c>
      <c r="CT784" s="531" t="str">
        <f t="shared" si="78"/>
        <v/>
      </c>
      <c r="CU784" s="531" t="str">
        <f t="shared" si="79"/>
        <v/>
      </c>
      <c r="CV784" s="531" t="str">
        <f t="shared" si="80"/>
        <v/>
      </c>
      <c r="CW784" s="531" t="str">
        <f t="shared" si="81"/>
        <v/>
      </c>
      <c r="CX784" s="531" t="str">
        <f t="shared" si="82"/>
        <v/>
      </c>
      <c r="CY784" s="531" t="str">
        <f t="shared" si="83"/>
        <v/>
      </c>
      <c r="CZ784" s="531" t="str">
        <f t="shared" si="84"/>
        <v/>
      </c>
      <c r="DA784" s="531" t="str">
        <f t="shared" si="85"/>
        <v/>
      </c>
      <c r="DB784" s="531" t="str">
        <f t="shared" si="86"/>
        <v/>
      </c>
      <c r="DC784" s="531" t="str">
        <f t="shared" si="87"/>
        <v/>
      </c>
      <c r="DD784" s="531" t="str">
        <f t="shared" si="88"/>
        <v/>
      </c>
      <c r="DE784" s="531" t="str">
        <f t="shared" si="89"/>
        <v/>
      </c>
      <c r="DF784" s="531" t="str">
        <f t="shared" si="90"/>
        <v/>
      </c>
      <c r="DG784" s="531" t="str">
        <f t="shared" si="91"/>
        <v/>
      </c>
      <c r="DH784" s="531" t="str">
        <f t="shared" si="92"/>
        <v/>
      </c>
      <c r="DI784" s="531" t="str">
        <f t="shared" si="93"/>
        <v/>
      </c>
      <c r="DJ784" s="531" t="str">
        <f t="shared" si="94"/>
        <v/>
      </c>
      <c r="DK784" s="531" t="str">
        <f t="shared" si="95"/>
        <v/>
      </c>
      <c r="DL784" s="531" t="str">
        <f t="shared" si="96"/>
        <v/>
      </c>
      <c r="DM784" s="531" t="str">
        <f t="shared" si="97"/>
        <v/>
      </c>
      <c r="DN784" s="531" t="str">
        <f t="shared" si="98"/>
        <v/>
      </c>
      <c r="DO784" s="531" t="str">
        <f t="shared" si="99"/>
        <v/>
      </c>
      <c r="DP784" s="531" t="str">
        <f t="shared" si="100"/>
        <v/>
      </c>
      <c r="DQ784" s="531" t="str">
        <f t="shared" si="101"/>
        <v/>
      </c>
      <c r="DR784" s="531" t="str">
        <f t="shared" si="102"/>
        <v/>
      </c>
      <c r="DS784" s="531" t="str">
        <f t="shared" si="103"/>
        <v/>
      </c>
      <c r="DT784" s="531" t="str">
        <f t="shared" si="104"/>
        <v/>
      </c>
      <c r="DU784" s="531" t="str">
        <f t="shared" si="105"/>
        <v/>
      </c>
      <c r="DV784" s="531" t="str">
        <f t="shared" si="106"/>
        <v/>
      </c>
      <c r="DW784" s="531" t="str">
        <f t="shared" si="107"/>
        <v/>
      </c>
      <c r="DX784" s="531" t="str">
        <f t="shared" si="108"/>
        <v/>
      </c>
      <c r="DY784" s="531" t="str">
        <f t="shared" si="109"/>
        <v/>
      </c>
      <c r="DZ784" s="531" t="str">
        <f t="shared" si="110"/>
        <v/>
      </c>
      <c r="EA784" s="531" t="str">
        <f t="shared" si="111"/>
        <v/>
      </c>
      <c r="EB784" s="531" t="str">
        <f t="shared" si="112"/>
        <v/>
      </c>
      <c r="EC784" s="531" t="str">
        <f t="shared" si="113"/>
        <v/>
      </c>
      <c r="ED784" s="531" t="str">
        <f t="shared" si="114"/>
        <v/>
      </c>
      <c r="EE784" s="531" t="str">
        <f t="shared" si="115"/>
        <v/>
      </c>
      <c r="EF784" s="531" t="str">
        <f t="shared" si="116"/>
        <v/>
      </c>
      <c r="EG784" s="531" t="str">
        <f t="shared" si="117"/>
        <v/>
      </c>
      <c r="EH784" s="531" t="str">
        <f t="shared" si="118"/>
        <v/>
      </c>
      <c r="EI784" s="531" t="str">
        <f t="shared" si="119"/>
        <v/>
      </c>
      <c r="EJ784" s="531" t="str">
        <f t="shared" si="120"/>
        <v/>
      </c>
      <c r="EK784" s="531" t="str">
        <f t="shared" si="121"/>
        <v/>
      </c>
      <c r="EL784" s="531" t="str">
        <f t="shared" si="122"/>
        <v/>
      </c>
      <c r="EM784" s="531" t="str">
        <f t="shared" si="123"/>
        <v/>
      </c>
      <c r="EN784" s="531" t="str">
        <f t="shared" si="124"/>
        <v/>
      </c>
      <c r="EO784" s="531" t="str">
        <f t="shared" si="125"/>
        <v/>
      </c>
      <c r="EP784" s="531" t="str">
        <f t="shared" si="126"/>
        <v/>
      </c>
      <c r="EQ784" s="531" t="str">
        <f t="shared" si="127"/>
        <v/>
      </c>
      <c r="ER784" s="531" t="str">
        <f t="shared" si="128"/>
        <v/>
      </c>
      <c r="ES784" s="531" t="str">
        <f t="shared" si="129"/>
        <v/>
      </c>
      <c r="ET784" s="531" t="str">
        <f t="shared" si="130"/>
        <v/>
      </c>
      <c r="EU784" s="531" t="str">
        <f t="shared" si="131"/>
        <v/>
      </c>
      <c r="EV784" s="531" t="str">
        <f t="shared" si="132"/>
        <v/>
      </c>
      <c r="EW784" s="1554" t="str">
        <f t="shared" si="133"/>
        <v/>
      </c>
      <c r="EX784" s="1554" t="str">
        <f t="shared" si="134"/>
        <v/>
      </c>
      <c r="EY784" s="1554" t="str">
        <f t="shared" si="135"/>
        <v/>
      </c>
      <c r="EZ784" s="1554" t="str">
        <f t="shared" si="136"/>
        <v/>
      </c>
      <c r="FA784" s="1554" t="str">
        <f t="shared" si="137"/>
        <v/>
      </c>
      <c r="FB784" s="1554" t="str">
        <f t="shared" si="138"/>
        <v/>
      </c>
      <c r="FC784" s="1554" t="str">
        <f t="shared" si="139"/>
        <v/>
      </c>
      <c r="FD784" s="1554" t="str">
        <f t="shared" si="140"/>
        <v/>
      </c>
      <c r="FE784" s="1554" t="str">
        <f t="shared" si="141"/>
        <v/>
      </c>
      <c r="FF784" s="1554" t="str">
        <f t="shared" si="142"/>
        <v/>
      </c>
      <c r="FG784" s="1554" t="str">
        <f t="shared" si="143"/>
        <v/>
      </c>
      <c r="FH784" s="1554" t="str">
        <f t="shared" si="144"/>
        <v/>
      </c>
      <c r="FI784" s="1554" t="str">
        <f t="shared" si="145"/>
        <v/>
      </c>
      <c r="FJ784" s="1554" t="str">
        <f t="shared" si="146"/>
        <v/>
      </c>
      <c r="FK784" s="1554" t="str">
        <f t="shared" si="147"/>
        <v/>
      </c>
      <c r="FL784" s="1554" t="str">
        <f t="shared" si="148"/>
        <v/>
      </c>
      <c r="FM784" s="1554" t="str">
        <f t="shared" si="149"/>
        <v/>
      </c>
      <c r="FN784" s="1554" t="str">
        <f t="shared" si="150"/>
        <v/>
      </c>
      <c r="FO784" s="1554" t="str">
        <f t="shared" si="151"/>
        <v/>
      </c>
      <c r="FP784" s="1554" t="str">
        <f t="shared" si="152"/>
        <v/>
      </c>
      <c r="FQ784" s="1554" t="str">
        <f t="shared" si="153"/>
        <v/>
      </c>
      <c r="FR784" s="1554" t="str">
        <f t="shared" si="154"/>
        <v/>
      </c>
      <c r="FS784" s="1554" t="str">
        <f t="shared" si="155"/>
        <v/>
      </c>
      <c r="FT784" s="1554" t="str">
        <f t="shared" si="156"/>
        <v/>
      </c>
      <c r="FU784" s="1554" t="str">
        <f t="shared" si="157"/>
        <v/>
      </c>
      <c r="FV784" s="1554" t="str">
        <f t="shared" si="158"/>
        <v/>
      </c>
      <c r="FW784" s="1554" t="str">
        <f t="shared" si="159"/>
        <v/>
      </c>
      <c r="FX784" s="1554" t="str">
        <f t="shared" si="160"/>
        <v/>
      </c>
      <c r="FY784" s="1554" t="str">
        <f t="shared" si="161"/>
        <v/>
      </c>
      <c r="FZ784" s="1554" t="str">
        <f t="shared" si="162"/>
        <v/>
      </c>
      <c r="GA784" s="1554" t="str">
        <f t="shared" si="163"/>
        <v/>
      </c>
      <c r="GB784" s="1554" t="str">
        <f t="shared" si="164"/>
        <v/>
      </c>
      <c r="GC784" s="1554" t="str">
        <f t="shared" si="165"/>
        <v/>
      </c>
      <c r="GD784" s="1554" t="str">
        <f t="shared" si="166"/>
        <v/>
      </c>
      <c r="GE784" s="1554" t="str">
        <f t="shared" si="167"/>
        <v/>
      </c>
      <c r="GF784" s="1554" t="str">
        <f t="shared" si="168"/>
        <v/>
      </c>
      <c r="GG784" s="1554" t="str">
        <f t="shared" si="169"/>
        <v/>
      </c>
      <c r="GH784" s="1554" t="str">
        <f t="shared" si="170"/>
        <v/>
      </c>
      <c r="GI784" s="1554" t="str">
        <f t="shared" si="171"/>
        <v/>
      </c>
      <c r="GJ784" s="1554" t="str">
        <f t="shared" si="172"/>
        <v/>
      </c>
      <c r="GK784" s="1554" t="str">
        <f t="shared" si="173"/>
        <v/>
      </c>
      <c r="GL784" s="1554" t="str">
        <f t="shared" si="174"/>
        <v/>
      </c>
      <c r="GM784" s="1554" t="str">
        <f t="shared" si="175"/>
        <v/>
      </c>
      <c r="GN784" s="1554" t="str">
        <f t="shared" si="176"/>
        <v/>
      </c>
      <c r="GO784" s="1554" t="str">
        <f t="shared" si="177"/>
        <v/>
      </c>
      <c r="GP784" s="1554" t="str">
        <f t="shared" si="178"/>
        <v/>
      </c>
      <c r="GQ784" s="1554" t="str">
        <f t="shared" si="179"/>
        <v/>
      </c>
      <c r="GR784" s="1554" t="str">
        <f t="shared" si="180"/>
        <v/>
      </c>
      <c r="GS784" s="1554" t="str">
        <f t="shared" si="181"/>
        <v/>
      </c>
      <c r="GT784" s="1554" t="str">
        <f t="shared" si="182"/>
        <v/>
      </c>
      <c r="GU784" s="1554" t="str">
        <f t="shared" si="183"/>
        <v/>
      </c>
      <c r="GV784" s="1554" t="str">
        <f t="shared" si="184"/>
        <v/>
      </c>
      <c r="GW784" s="1554" t="str">
        <f t="shared" si="185"/>
        <v/>
      </c>
      <c r="GX784" s="1554" t="str">
        <f t="shared" si="186"/>
        <v/>
      </c>
      <c r="GY784" s="1554" t="str">
        <f t="shared" si="187"/>
        <v/>
      </c>
      <c r="GZ784" s="1554" t="str">
        <f t="shared" si="188"/>
        <v/>
      </c>
      <c r="HA784" s="1554" t="str">
        <f t="shared" si="189"/>
        <v/>
      </c>
      <c r="HB784" s="1554" t="str">
        <f t="shared" si="190"/>
        <v/>
      </c>
      <c r="HC784" s="1554" t="str">
        <f t="shared" si="191"/>
        <v/>
      </c>
      <c r="HD784" s="1554" t="str">
        <f t="shared" si="192"/>
        <v/>
      </c>
      <c r="HE784" s="1554" t="str">
        <f t="shared" si="193"/>
        <v/>
      </c>
      <c r="HF784" s="1554" t="str">
        <f t="shared" si="194"/>
        <v/>
      </c>
      <c r="HG784" s="1554" t="str">
        <f t="shared" si="195"/>
        <v/>
      </c>
      <c r="HH784" s="1554" t="str">
        <f t="shared" si="196"/>
        <v/>
      </c>
      <c r="HI784" s="1554" t="str">
        <f t="shared" si="197"/>
        <v/>
      </c>
      <c r="HJ784" s="1554" t="str">
        <f t="shared" si="198"/>
        <v/>
      </c>
      <c r="HK784" s="1554" t="str">
        <f t="shared" si="199"/>
        <v/>
      </c>
      <c r="HL784" s="1554" t="str">
        <f t="shared" si="200"/>
        <v/>
      </c>
      <c r="HM784" s="1554" t="str">
        <f t="shared" si="201"/>
        <v/>
      </c>
      <c r="HN784" s="1554" t="str">
        <f t="shared" si="202"/>
        <v/>
      </c>
      <c r="HO784" s="1554" t="str">
        <f t="shared" si="203"/>
        <v/>
      </c>
      <c r="HP784" s="1554" t="str">
        <f t="shared" si="204"/>
        <v/>
      </c>
      <c r="HQ784" s="1554" t="str">
        <f t="shared" si="205"/>
        <v/>
      </c>
      <c r="HR784" s="1554" t="str">
        <f t="shared" si="206"/>
        <v/>
      </c>
      <c r="HS784" s="1554" t="str">
        <f t="shared" si="207"/>
        <v/>
      </c>
      <c r="HT784" s="1554" t="str">
        <f t="shared" si="208"/>
        <v/>
      </c>
      <c r="HU784" s="1554" t="str">
        <f t="shared" si="209"/>
        <v/>
      </c>
      <c r="HV784" s="1554" t="str">
        <f t="shared" si="210"/>
        <v/>
      </c>
      <c r="HW784" s="1554" t="str">
        <f t="shared" si="211"/>
        <v/>
      </c>
      <c r="HX784" s="1554" t="str">
        <f t="shared" si="212"/>
        <v/>
      </c>
      <c r="HY784" s="1554" t="str">
        <f t="shared" si="213"/>
        <v/>
      </c>
      <c r="HZ784" s="1554" t="str">
        <f t="shared" si="214"/>
        <v/>
      </c>
      <c r="IA784" s="1554" t="str">
        <f t="shared" si="215"/>
        <v/>
      </c>
      <c r="IB784" s="1554" t="str">
        <f t="shared" si="216"/>
        <v/>
      </c>
      <c r="IC784" s="1554" t="str">
        <f t="shared" si="217"/>
        <v/>
      </c>
      <c r="ID784" s="31" t="str">
        <f t="shared" si="218"/>
        <v/>
      </c>
      <c r="IE784" s="31" t="str">
        <f t="shared" si="219"/>
        <v/>
      </c>
      <c r="IF784" s="31" t="str">
        <f t="shared" si="220"/>
        <v/>
      </c>
      <c r="IG784" s="31" t="str">
        <f t="shared" si="221"/>
        <v/>
      </c>
      <c r="IH784" s="31" t="str">
        <f t="shared" si="222"/>
        <v/>
      </c>
      <c r="II784" s="531" t="str">
        <f t="shared" si="223"/>
        <v/>
      </c>
      <c r="IJ784" s="531" t="str">
        <f t="shared" si="224"/>
        <v/>
      </c>
      <c r="IK784" s="531" t="str">
        <f t="shared" si="225"/>
        <v/>
      </c>
      <c r="IL784" s="531" t="str">
        <f t="shared" si="226"/>
        <v/>
      </c>
      <c r="IM784" s="531" t="str">
        <f t="shared" si="227"/>
        <v/>
      </c>
      <c r="IN784" s="531" t="str">
        <f t="shared" si="228"/>
        <v/>
      </c>
      <c r="IO784" s="531" t="str">
        <f t="shared" si="229"/>
        <v/>
      </c>
      <c r="IP784" s="531" t="str">
        <f t="shared" si="230"/>
        <v/>
      </c>
      <c r="IQ784" s="531" t="str">
        <f t="shared" si="231"/>
        <v/>
      </c>
      <c r="IR784" s="531" t="str">
        <f t="shared" si="232"/>
        <v/>
      </c>
      <c r="IS784" s="531" t="str">
        <f t="shared" si="233"/>
        <v/>
      </c>
      <c r="IT784" s="531" t="str">
        <f t="shared" si="234"/>
        <v/>
      </c>
      <c r="IU784" s="531" t="str">
        <f t="shared" si="235"/>
        <v/>
      </c>
      <c r="IV784" s="531" t="str">
        <f t="shared" si="236"/>
        <v/>
      </c>
      <c r="IW784" s="531" t="str">
        <f t="shared" si="237"/>
        <v/>
      </c>
      <c r="IX784" s="531" t="str">
        <f t="shared" si="238"/>
        <v/>
      </c>
      <c r="IY784" s="531" t="str">
        <f t="shared" si="239"/>
        <v/>
      </c>
      <c r="IZ784" s="531" t="str">
        <f t="shared" si="240"/>
        <v/>
      </c>
      <c r="JA784" s="531" t="str">
        <f t="shared" si="241"/>
        <v/>
      </c>
      <c r="JB784" s="531" t="str">
        <f t="shared" si="242"/>
        <v/>
      </c>
      <c r="JC784" s="615">
        <f t="shared" si="243"/>
        <v>0</v>
      </c>
      <c r="JD784" s="615">
        <f t="shared" si="244"/>
        <v>0</v>
      </c>
      <c r="JE784" s="615">
        <f t="shared" si="245"/>
        <v>0</v>
      </c>
      <c r="JF784" s="615">
        <f t="shared" si="246"/>
        <v>0</v>
      </c>
      <c r="JG784" s="615">
        <f t="shared" si="247"/>
        <v>0</v>
      </c>
      <c r="JH784" s="615">
        <f t="shared" si="248"/>
        <v>0</v>
      </c>
      <c r="JI784" s="615">
        <f t="shared" si="249"/>
        <v>0</v>
      </c>
      <c r="JJ784" s="615">
        <f t="shared" si="250"/>
        <v>0</v>
      </c>
      <c r="JK784" s="615">
        <f t="shared" si="251"/>
        <v>0</v>
      </c>
      <c r="JL784" s="615">
        <f t="shared" si="252"/>
        <v>0</v>
      </c>
      <c r="JM784" s="615">
        <f t="shared" si="253"/>
        <v>0</v>
      </c>
      <c r="JN784" s="615">
        <f t="shared" si="254"/>
        <v>0</v>
      </c>
      <c r="JO784" s="615">
        <f t="shared" si="255"/>
        <v>0</v>
      </c>
      <c r="JP784" s="615">
        <f t="shared" si="256"/>
        <v>0</v>
      </c>
      <c r="JQ784" s="615">
        <f t="shared" si="257"/>
        <v>0</v>
      </c>
    </row>
    <row r="785" spans="1:278" ht="12" customHeight="1">
      <c r="A785" s="1190" t="str">
        <f t="shared" si="0"/>
        <v/>
      </c>
      <c r="B785" s="1545" t="str">
        <f>'Part VI-Revenues &amp; Expenses'!B42</f>
        <v>&lt;&lt;Select&gt;&gt;</v>
      </c>
      <c r="C785" s="1546">
        <f>'Part VI-Revenues &amp; Expenses'!C42</f>
        <v>0</v>
      </c>
      <c r="D785" s="1547">
        <f>'Part VI-Revenues &amp; Expenses'!D42</f>
        <v>0</v>
      </c>
      <c r="E785" s="1548">
        <f>'Part VI-Revenues &amp; Expenses'!E42</f>
        <v>0</v>
      </c>
      <c r="F785" s="1548">
        <f>'Part VI-Revenues &amp; Expenses'!F42</f>
        <v>0</v>
      </c>
      <c r="G785" s="1548">
        <f>'Part VI-Revenues &amp; Expenses'!G42</f>
        <v>0</v>
      </c>
      <c r="H785" s="1548">
        <f>'Part VI-Revenues &amp; Expenses'!H42</f>
        <v>0</v>
      </c>
      <c r="I785" s="1548">
        <f>'Part VI-Revenues &amp; Expenses'!I42</f>
        <v>0</v>
      </c>
      <c r="J785" s="1549">
        <f>'Part VI-Revenues &amp; Expenses'!J42</f>
        <v>0</v>
      </c>
      <c r="K785" s="1550">
        <f t="shared" si="1"/>
        <v>0</v>
      </c>
      <c r="L785" s="1550">
        <f t="shared" si="2"/>
        <v>0</v>
      </c>
      <c r="M785" s="1551">
        <f>'Part VI-Revenues &amp; Expenses'!M42</f>
        <v>0</v>
      </c>
      <c r="N785" s="1551">
        <f>'Part VI-Revenues &amp; Expenses'!N42</f>
        <v>0</v>
      </c>
      <c r="O785" s="1551">
        <f>'Part VI-Revenues &amp; Expenses'!O42</f>
        <v>0</v>
      </c>
      <c r="P785" s="1406">
        <f>'Part VI-Revenues &amp; Expenses'!P42</f>
        <v>0</v>
      </c>
      <c r="Q785" s="1552" t="str">
        <f>'Part VI-Revenues &amp; Expenses'!Q42</f>
        <v/>
      </c>
      <c r="R785" s="1553" t="str">
        <f>'Part VI-Revenues &amp; Expenses'!R42</f>
        <v/>
      </c>
      <c r="S785" s="1552">
        <f>'Part VI-Revenues &amp; Expenses'!S42</f>
        <v>0</v>
      </c>
      <c r="T785" s="1553">
        <f>'Part VI-Revenues &amp; Expenses'!T42</f>
        <v>0</v>
      </c>
      <c r="U785" s="1477"/>
      <c r="V785" s="1477"/>
      <c r="W785" s="531" t="str">
        <f t="shared" si="3"/>
        <v/>
      </c>
      <c r="X785" s="531" t="str">
        <f t="shared" si="4"/>
        <v/>
      </c>
      <c r="Y785" s="531" t="str">
        <f t="shared" si="5"/>
        <v/>
      </c>
      <c r="Z785" s="531" t="str">
        <f t="shared" si="6"/>
        <v/>
      </c>
      <c r="AA785" s="531" t="str">
        <f t="shared" si="7"/>
        <v/>
      </c>
      <c r="AB785" s="531" t="str">
        <f t="shared" si="8"/>
        <v/>
      </c>
      <c r="AC785" s="531" t="str">
        <f t="shared" si="9"/>
        <v/>
      </c>
      <c r="AD785" s="531" t="str">
        <f t="shared" si="10"/>
        <v/>
      </c>
      <c r="AE785" s="531" t="str">
        <f t="shared" si="11"/>
        <v/>
      </c>
      <c r="AF785" s="531" t="str">
        <f t="shared" si="12"/>
        <v/>
      </c>
      <c r="AG785" s="531" t="str">
        <f t="shared" si="13"/>
        <v/>
      </c>
      <c r="AH785" s="531" t="str">
        <f t="shared" si="14"/>
        <v/>
      </c>
      <c r="AI785" s="531" t="str">
        <f t="shared" si="15"/>
        <v/>
      </c>
      <c r="AJ785" s="531" t="str">
        <f t="shared" si="16"/>
        <v/>
      </c>
      <c r="AK785" s="531" t="str">
        <f t="shared" si="17"/>
        <v/>
      </c>
      <c r="AL785" s="531" t="str">
        <f t="shared" si="18"/>
        <v/>
      </c>
      <c r="AM785" s="531" t="str">
        <f t="shared" si="19"/>
        <v/>
      </c>
      <c r="AN785" s="531" t="str">
        <f t="shared" si="20"/>
        <v/>
      </c>
      <c r="AO785" s="531" t="str">
        <f t="shared" si="21"/>
        <v/>
      </c>
      <c r="AP785" s="531" t="str">
        <f t="shared" si="22"/>
        <v/>
      </c>
      <c r="AQ785" s="531" t="str">
        <f t="shared" si="23"/>
        <v/>
      </c>
      <c r="AR785" s="531" t="str">
        <f t="shared" si="24"/>
        <v/>
      </c>
      <c r="AS785" s="531" t="str">
        <f t="shared" si="25"/>
        <v/>
      </c>
      <c r="AT785" s="531" t="str">
        <f t="shared" si="26"/>
        <v/>
      </c>
      <c r="AU785" s="531" t="str">
        <f t="shared" si="27"/>
        <v/>
      </c>
      <c r="AV785" s="531" t="str">
        <f t="shared" si="28"/>
        <v/>
      </c>
      <c r="AW785" s="531" t="str">
        <f t="shared" si="29"/>
        <v/>
      </c>
      <c r="AX785" s="531" t="str">
        <f t="shared" si="30"/>
        <v/>
      </c>
      <c r="AY785" s="531" t="str">
        <f t="shared" si="31"/>
        <v/>
      </c>
      <c r="AZ785" s="531" t="str">
        <f t="shared" si="32"/>
        <v/>
      </c>
      <c r="BA785" s="531" t="str">
        <f t="shared" si="33"/>
        <v/>
      </c>
      <c r="BB785" s="531" t="str">
        <f t="shared" si="34"/>
        <v/>
      </c>
      <c r="BC785" s="531" t="str">
        <f t="shared" si="35"/>
        <v/>
      </c>
      <c r="BD785" s="531" t="str">
        <f t="shared" si="36"/>
        <v/>
      </c>
      <c r="BE785" s="531" t="str">
        <f t="shared" si="37"/>
        <v/>
      </c>
      <c r="BF785" s="531" t="str">
        <f t="shared" si="38"/>
        <v/>
      </c>
      <c r="BG785" s="531" t="str">
        <f t="shared" si="39"/>
        <v/>
      </c>
      <c r="BH785" s="531" t="str">
        <f t="shared" si="40"/>
        <v/>
      </c>
      <c r="BI785" s="531" t="str">
        <f t="shared" si="41"/>
        <v/>
      </c>
      <c r="BJ785" s="531" t="str">
        <f t="shared" si="42"/>
        <v/>
      </c>
      <c r="BK785" s="531" t="str">
        <f t="shared" si="43"/>
        <v/>
      </c>
      <c r="BL785" s="531" t="str">
        <f t="shared" si="44"/>
        <v/>
      </c>
      <c r="BM785" s="531" t="str">
        <f t="shared" si="45"/>
        <v/>
      </c>
      <c r="BN785" s="531" t="str">
        <f t="shared" si="46"/>
        <v/>
      </c>
      <c r="BO785" s="531" t="str">
        <f t="shared" si="47"/>
        <v/>
      </c>
      <c r="BP785" s="531" t="str">
        <f t="shared" si="48"/>
        <v/>
      </c>
      <c r="BQ785" s="531" t="str">
        <f t="shared" si="49"/>
        <v/>
      </c>
      <c r="BR785" s="531" t="str">
        <f t="shared" si="50"/>
        <v/>
      </c>
      <c r="BS785" s="531" t="str">
        <f t="shared" si="51"/>
        <v/>
      </c>
      <c r="BT785" s="531" t="str">
        <f t="shared" si="52"/>
        <v/>
      </c>
      <c r="BU785" s="531" t="str">
        <f t="shared" si="53"/>
        <v/>
      </c>
      <c r="BV785" s="531" t="str">
        <f t="shared" si="54"/>
        <v/>
      </c>
      <c r="BW785" s="531" t="str">
        <f t="shared" si="55"/>
        <v/>
      </c>
      <c r="BX785" s="531" t="str">
        <f t="shared" si="56"/>
        <v/>
      </c>
      <c r="BY785" s="531" t="str">
        <f t="shared" si="57"/>
        <v/>
      </c>
      <c r="BZ785" s="531" t="str">
        <f t="shared" si="58"/>
        <v/>
      </c>
      <c r="CA785" s="531" t="str">
        <f t="shared" si="59"/>
        <v/>
      </c>
      <c r="CB785" s="531" t="str">
        <f t="shared" si="60"/>
        <v/>
      </c>
      <c r="CC785" s="531" t="str">
        <f t="shared" si="61"/>
        <v/>
      </c>
      <c r="CD785" s="531" t="str">
        <f t="shared" si="62"/>
        <v/>
      </c>
      <c r="CE785" s="531" t="str">
        <f t="shared" si="63"/>
        <v/>
      </c>
      <c r="CF785" s="531" t="str">
        <f t="shared" si="64"/>
        <v/>
      </c>
      <c r="CG785" s="531" t="str">
        <f t="shared" si="65"/>
        <v/>
      </c>
      <c r="CH785" s="531" t="str">
        <f t="shared" si="66"/>
        <v/>
      </c>
      <c r="CI785" s="531" t="str">
        <f t="shared" si="67"/>
        <v/>
      </c>
      <c r="CJ785" s="531" t="str">
        <f t="shared" si="68"/>
        <v/>
      </c>
      <c r="CK785" s="531" t="str">
        <f t="shared" si="69"/>
        <v/>
      </c>
      <c r="CL785" s="531" t="str">
        <f t="shared" si="70"/>
        <v/>
      </c>
      <c r="CM785" s="531" t="str">
        <f t="shared" si="71"/>
        <v/>
      </c>
      <c r="CN785" s="531" t="str">
        <f t="shared" si="72"/>
        <v/>
      </c>
      <c r="CO785" s="531" t="str">
        <f t="shared" si="73"/>
        <v/>
      </c>
      <c r="CP785" s="531" t="str">
        <f t="shared" si="74"/>
        <v/>
      </c>
      <c r="CQ785" s="531" t="str">
        <f t="shared" si="75"/>
        <v/>
      </c>
      <c r="CR785" s="531" t="str">
        <f t="shared" si="76"/>
        <v/>
      </c>
      <c r="CS785" s="531" t="str">
        <f t="shared" si="77"/>
        <v/>
      </c>
      <c r="CT785" s="531" t="str">
        <f t="shared" si="78"/>
        <v/>
      </c>
      <c r="CU785" s="531" t="str">
        <f t="shared" si="79"/>
        <v/>
      </c>
      <c r="CV785" s="531" t="str">
        <f t="shared" si="80"/>
        <v/>
      </c>
      <c r="CW785" s="531" t="str">
        <f t="shared" si="81"/>
        <v/>
      </c>
      <c r="CX785" s="531" t="str">
        <f t="shared" si="82"/>
        <v/>
      </c>
      <c r="CY785" s="531" t="str">
        <f t="shared" si="83"/>
        <v/>
      </c>
      <c r="CZ785" s="531" t="str">
        <f t="shared" si="84"/>
        <v/>
      </c>
      <c r="DA785" s="531" t="str">
        <f t="shared" si="85"/>
        <v/>
      </c>
      <c r="DB785" s="531" t="str">
        <f t="shared" si="86"/>
        <v/>
      </c>
      <c r="DC785" s="531" t="str">
        <f t="shared" si="87"/>
        <v/>
      </c>
      <c r="DD785" s="531" t="str">
        <f t="shared" si="88"/>
        <v/>
      </c>
      <c r="DE785" s="531" t="str">
        <f t="shared" si="89"/>
        <v/>
      </c>
      <c r="DF785" s="531" t="str">
        <f t="shared" si="90"/>
        <v/>
      </c>
      <c r="DG785" s="531" t="str">
        <f t="shared" si="91"/>
        <v/>
      </c>
      <c r="DH785" s="531" t="str">
        <f t="shared" si="92"/>
        <v/>
      </c>
      <c r="DI785" s="531" t="str">
        <f t="shared" si="93"/>
        <v/>
      </c>
      <c r="DJ785" s="531" t="str">
        <f t="shared" si="94"/>
        <v/>
      </c>
      <c r="DK785" s="531" t="str">
        <f t="shared" si="95"/>
        <v/>
      </c>
      <c r="DL785" s="531" t="str">
        <f t="shared" si="96"/>
        <v/>
      </c>
      <c r="DM785" s="531" t="str">
        <f t="shared" si="97"/>
        <v/>
      </c>
      <c r="DN785" s="531" t="str">
        <f t="shared" si="98"/>
        <v/>
      </c>
      <c r="DO785" s="531" t="str">
        <f t="shared" si="99"/>
        <v/>
      </c>
      <c r="DP785" s="531" t="str">
        <f t="shared" si="100"/>
        <v/>
      </c>
      <c r="DQ785" s="531" t="str">
        <f t="shared" si="101"/>
        <v/>
      </c>
      <c r="DR785" s="531" t="str">
        <f t="shared" si="102"/>
        <v/>
      </c>
      <c r="DS785" s="531" t="str">
        <f t="shared" si="103"/>
        <v/>
      </c>
      <c r="DT785" s="531" t="str">
        <f t="shared" si="104"/>
        <v/>
      </c>
      <c r="DU785" s="531" t="str">
        <f t="shared" si="105"/>
        <v/>
      </c>
      <c r="DV785" s="531" t="str">
        <f t="shared" si="106"/>
        <v/>
      </c>
      <c r="DW785" s="531" t="str">
        <f t="shared" si="107"/>
        <v/>
      </c>
      <c r="DX785" s="531" t="str">
        <f t="shared" si="108"/>
        <v/>
      </c>
      <c r="DY785" s="531" t="str">
        <f t="shared" si="109"/>
        <v/>
      </c>
      <c r="DZ785" s="531" t="str">
        <f t="shared" si="110"/>
        <v/>
      </c>
      <c r="EA785" s="531" t="str">
        <f t="shared" si="111"/>
        <v/>
      </c>
      <c r="EB785" s="531" t="str">
        <f t="shared" si="112"/>
        <v/>
      </c>
      <c r="EC785" s="531" t="str">
        <f t="shared" si="113"/>
        <v/>
      </c>
      <c r="ED785" s="531" t="str">
        <f t="shared" si="114"/>
        <v/>
      </c>
      <c r="EE785" s="531" t="str">
        <f t="shared" si="115"/>
        <v/>
      </c>
      <c r="EF785" s="531" t="str">
        <f t="shared" si="116"/>
        <v/>
      </c>
      <c r="EG785" s="531" t="str">
        <f t="shared" si="117"/>
        <v/>
      </c>
      <c r="EH785" s="531" t="str">
        <f t="shared" si="118"/>
        <v/>
      </c>
      <c r="EI785" s="531" t="str">
        <f t="shared" si="119"/>
        <v/>
      </c>
      <c r="EJ785" s="531" t="str">
        <f t="shared" si="120"/>
        <v/>
      </c>
      <c r="EK785" s="531" t="str">
        <f t="shared" si="121"/>
        <v/>
      </c>
      <c r="EL785" s="531" t="str">
        <f t="shared" si="122"/>
        <v/>
      </c>
      <c r="EM785" s="531" t="str">
        <f t="shared" si="123"/>
        <v/>
      </c>
      <c r="EN785" s="531" t="str">
        <f t="shared" si="124"/>
        <v/>
      </c>
      <c r="EO785" s="531" t="str">
        <f t="shared" si="125"/>
        <v/>
      </c>
      <c r="EP785" s="531" t="str">
        <f t="shared" si="126"/>
        <v/>
      </c>
      <c r="EQ785" s="531" t="str">
        <f t="shared" si="127"/>
        <v/>
      </c>
      <c r="ER785" s="531" t="str">
        <f t="shared" si="128"/>
        <v/>
      </c>
      <c r="ES785" s="531" t="str">
        <f t="shared" si="129"/>
        <v/>
      </c>
      <c r="ET785" s="531" t="str">
        <f t="shared" si="130"/>
        <v/>
      </c>
      <c r="EU785" s="531" t="str">
        <f t="shared" si="131"/>
        <v/>
      </c>
      <c r="EV785" s="531" t="str">
        <f t="shared" si="132"/>
        <v/>
      </c>
      <c r="EW785" s="1554" t="str">
        <f t="shared" si="133"/>
        <v/>
      </c>
      <c r="EX785" s="1554" t="str">
        <f t="shared" si="134"/>
        <v/>
      </c>
      <c r="EY785" s="1554" t="str">
        <f t="shared" si="135"/>
        <v/>
      </c>
      <c r="EZ785" s="1554" t="str">
        <f t="shared" si="136"/>
        <v/>
      </c>
      <c r="FA785" s="1554" t="str">
        <f t="shared" si="137"/>
        <v/>
      </c>
      <c r="FB785" s="1554" t="str">
        <f t="shared" si="138"/>
        <v/>
      </c>
      <c r="FC785" s="1554" t="str">
        <f t="shared" si="139"/>
        <v/>
      </c>
      <c r="FD785" s="1554" t="str">
        <f t="shared" si="140"/>
        <v/>
      </c>
      <c r="FE785" s="1554" t="str">
        <f t="shared" si="141"/>
        <v/>
      </c>
      <c r="FF785" s="1554" t="str">
        <f t="shared" si="142"/>
        <v/>
      </c>
      <c r="FG785" s="1554" t="str">
        <f t="shared" si="143"/>
        <v/>
      </c>
      <c r="FH785" s="1554" t="str">
        <f t="shared" si="144"/>
        <v/>
      </c>
      <c r="FI785" s="1554" t="str">
        <f t="shared" si="145"/>
        <v/>
      </c>
      <c r="FJ785" s="1554" t="str">
        <f t="shared" si="146"/>
        <v/>
      </c>
      <c r="FK785" s="1554" t="str">
        <f t="shared" si="147"/>
        <v/>
      </c>
      <c r="FL785" s="1554" t="str">
        <f t="shared" si="148"/>
        <v/>
      </c>
      <c r="FM785" s="1554" t="str">
        <f t="shared" si="149"/>
        <v/>
      </c>
      <c r="FN785" s="1554" t="str">
        <f t="shared" si="150"/>
        <v/>
      </c>
      <c r="FO785" s="1554" t="str">
        <f t="shared" si="151"/>
        <v/>
      </c>
      <c r="FP785" s="1554" t="str">
        <f t="shared" si="152"/>
        <v/>
      </c>
      <c r="FQ785" s="1554" t="str">
        <f t="shared" si="153"/>
        <v/>
      </c>
      <c r="FR785" s="1554" t="str">
        <f t="shared" si="154"/>
        <v/>
      </c>
      <c r="FS785" s="1554" t="str">
        <f t="shared" si="155"/>
        <v/>
      </c>
      <c r="FT785" s="1554" t="str">
        <f t="shared" si="156"/>
        <v/>
      </c>
      <c r="FU785" s="1554" t="str">
        <f t="shared" si="157"/>
        <v/>
      </c>
      <c r="FV785" s="1554" t="str">
        <f t="shared" si="158"/>
        <v/>
      </c>
      <c r="FW785" s="1554" t="str">
        <f t="shared" si="159"/>
        <v/>
      </c>
      <c r="FX785" s="1554" t="str">
        <f t="shared" si="160"/>
        <v/>
      </c>
      <c r="FY785" s="1554" t="str">
        <f t="shared" si="161"/>
        <v/>
      </c>
      <c r="FZ785" s="1554" t="str">
        <f t="shared" si="162"/>
        <v/>
      </c>
      <c r="GA785" s="1554" t="str">
        <f t="shared" si="163"/>
        <v/>
      </c>
      <c r="GB785" s="1554" t="str">
        <f t="shared" si="164"/>
        <v/>
      </c>
      <c r="GC785" s="1554" t="str">
        <f t="shared" si="165"/>
        <v/>
      </c>
      <c r="GD785" s="1554" t="str">
        <f t="shared" si="166"/>
        <v/>
      </c>
      <c r="GE785" s="1554" t="str">
        <f t="shared" si="167"/>
        <v/>
      </c>
      <c r="GF785" s="1554" t="str">
        <f t="shared" si="168"/>
        <v/>
      </c>
      <c r="GG785" s="1554" t="str">
        <f t="shared" si="169"/>
        <v/>
      </c>
      <c r="GH785" s="1554" t="str">
        <f t="shared" si="170"/>
        <v/>
      </c>
      <c r="GI785" s="1554" t="str">
        <f t="shared" si="171"/>
        <v/>
      </c>
      <c r="GJ785" s="1554" t="str">
        <f t="shared" si="172"/>
        <v/>
      </c>
      <c r="GK785" s="1554" t="str">
        <f t="shared" si="173"/>
        <v/>
      </c>
      <c r="GL785" s="1554" t="str">
        <f t="shared" si="174"/>
        <v/>
      </c>
      <c r="GM785" s="1554" t="str">
        <f t="shared" si="175"/>
        <v/>
      </c>
      <c r="GN785" s="1554" t="str">
        <f t="shared" si="176"/>
        <v/>
      </c>
      <c r="GO785" s="1554" t="str">
        <f t="shared" si="177"/>
        <v/>
      </c>
      <c r="GP785" s="1554" t="str">
        <f t="shared" si="178"/>
        <v/>
      </c>
      <c r="GQ785" s="1554" t="str">
        <f t="shared" si="179"/>
        <v/>
      </c>
      <c r="GR785" s="1554" t="str">
        <f t="shared" si="180"/>
        <v/>
      </c>
      <c r="GS785" s="1554" t="str">
        <f t="shared" si="181"/>
        <v/>
      </c>
      <c r="GT785" s="1554" t="str">
        <f t="shared" si="182"/>
        <v/>
      </c>
      <c r="GU785" s="1554" t="str">
        <f t="shared" si="183"/>
        <v/>
      </c>
      <c r="GV785" s="1554" t="str">
        <f t="shared" si="184"/>
        <v/>
      </c>
      <c r="GW785" s="1554" t="str">
        <f t="shared" si="185"/>
        <v/>
      </c>
      <c r="GX785" s="1554" t="str">
        <f t="shared" si="186"/>
        <v/>
      </c>
      <c r="GY785" s="1554" t="str">
        <f t="shared" si="187"/>
        <v/>
      </c>
      <c r="GZ785" s="1554" t="str">
        <f t="shared" si="188"/>
        <v/>
      </c>
      <c r="HA785" s="1554" t="str">
        <f t="shared" si="189"/>
        <v/>
      </c>
      <c r="HB785" s="1554" t="str">
        <f t="shared" si="190"/>
        <v/>
      </c>
      <c r="HC785" s="1554" t="str">
        <f t="shared" si="191"/>
        <v/>
      </c>
      <c r="HD785" s="1554" t="str">
        <f t="shared" si="192"/>
        <v/>
      </c>
      <c r="HE785" s="1554" t="str">
        <f t="shared" si="193"/>
        <v/>
      </c>
      <c r="HF785" s="1554" t="str">
        <f t="shared" si="194"/>
        <v/>
      </c>
      <c r="HG785" s="1554" t="str">
        <f t="shared" si="195"/>
        <v/>
      </c>
      <c r="HH785" s="1554" t="str">
        <f t="shared" si="196"/>
        <v/>
      </c>
      <c r="HI785" s="1554" t="str">
        <f t="shared" si="197"/>
        <v/>
      </c>
      <c r="HJ785" s="1554" t="str">
        <f t="shared" si="198"/>
        <v/>
      </c>
      <c r="HK785" s="1554" t="str">
        <f t="shared" si="199"/>
        <v/>
      </c>
      <c r="HL785" s="1554" t="str">
        <f t="shared" si="200"/>
        <v/>
      </c>
      <c r="HM785" s="1554" t="str">
        <f t="shared" si="201"/>
        <v/>
      </c>
      <c r="HN785" s="1554" t="str">
        <f t="shared" si="202"/>
        <v/>
      </c>
      <c r="HO785" s="1554" t="str">
        <f t="shared" si="203"/>
        <v/>
      </c>
      <c r="HP785" s="1554" t="str">
        <f t="shared" si="204"/>
        <v/>
      </c>
      <c r="HQ785" s="1554" t="str">
        <f t="shared" si="205"/>
        <v/>
      </c>
      <c r="HR785" s="1554" t="str">
        <f t="shared" si="206"/>
        <v/>
      </c>
      <c r="HS785" s="1554" t="str">
        <f t="shared" si="207"/>
        <v/>
      </c>
      <c r="HT785" s="1554" t="str">
        <f t="shared" si="208"/>
        <v/>
      </c>
      <c r="HU785" s="1554" t="str">
        <f t="shared" si="209"/>
        <v/>
      </c>
      <c r="HV785" s="1554" t="str">
        <f t="shared" si="210"/>
        <v/>
      </c>
      <c r="HW785" s="1554" t="str">
        <f t="shared" si="211"/>
        <v/>
      </c>
      <c r="HX785" s="1554" t="str">
        <f t="shared" si="212"/>
        <v/>
      </c>
      <c r="HY785" s="1554" t="str">
        <f t="shared" si="213"/>
        <v/>
      </c>
      <c r="HZ785" s="1554" t="str">
        <f t="shared" si="214"/>
        <v/>
      </c>
      <c r="IA785" s="1554" t="str">
        <f t="shared" si="215"/>
        <v/>
      </c>
      <c r="IB785" s="1554" t="str">
        <f t="shared" si="216"/>
        <v/>
      </c>
      <c r="IC785" s="1554" t="str">
        <f t="shared" si="217"/>
        <v/>
      </c>
      <c r="ID785" s="31" t="str">
        <f t="shared" si="218"/>
        <v/>
      </c>
      <c r="IE785" s="31" t="str">
        <f t="shared" si="219"/>
        <v/>
      </c>
      <c r="IF785" s="31" t="str">
        <f t="shared" si="220"/>
        <v/>
      </c>
      <c r="IG785" s="31" t="str">
        <f t="shared" si="221"/>
        <v/>
      </c>
      <c r="IH785" s="31" t="str">
        <f t="shared" si="222"/>
        <v/>
      </c>
      <c r="II785" s="531" t="str">
        <f t="shared" si="223"/>
        <v/>
      </c>
      <c r="IJ785" s="531" t="str">
        <f t="shared" si="224"/>
        <v/>
      </c>
      <c r="IK785" s="531" t="str">
        <f t="shared" si="225"/>
        <v/>
      </c>
      <c r="IL785" s="531" t="str">
        <f t="shared" si="226"/>
        <v/>
      </c>
      <c r="IM785" s="531" t="str">
        <f t="shared" si="227"/>
        <v/>
      </c>
      <c r="IN785" s="531" t="str">
        <f t="shared" si="228"/>
        <v/>
      </c>
      <c r="IO785" s="531" t="str">
        <f t="shared" si="229"/>
        <v/>
      </c>
      <c r="IP785" s="531" t="str">
        <f t="shared" si="230"/>
        <v/>
      </c>
      <c r="IQ785" s="531" t="str">
        <f t="shared" si="231"/>
        <v/>
      </c>
      <c r="IR785" s="531" t="str">
        <f t="shared" si="232"/>
        <v/>
      </c>
      <c r="IS785" s="531" t="str">
        <f t="shared" si="233"/>
        <v/>
      </c>
      <c r="IT785" s="531" t="str">
        <f t="shared" si="234"/>
        <v/>
      </c>
      <c r="IU785" s="531" t="str">
        <f t="shared" si="235"/>
        <v/>
      </c>
      <c r="IV785" s="531" t="str">
        <f t="shared" si="236"/>
        <v/>
      </c>
      <c r="IW785" s="531" t="str">
        <f t="shared" si="237"/>
        <v/>
      </c>
      <c r="IX785" s="531" t="str">
        <f t="shared" si="238"/>
        <v/>
      </c>
      <c r="IY785" s="531" t="str">
        <f t="shared" si="239"/>
        <v/>
      </c>
      <c r="IZ785" s="531" t="str">
        <f t="shared" si="240"/>
        <v/>
      </c>
      <c r="JA785" s="531" t="str">
        <f t="shared" si="241"/>
        <v/>
      </c>
      <c r="JB785" s="531" t="str">
        <f t="shared" si="242"/>
        <v/>
      </c>
      <c r="JC785" s="615">
        <f t="shared" si="243"/>
        <v>0</v>
      </c>
      <c r="JD785" s="615">
        <f t="shared" si="244"/>
        <v>0</v>
      </c>
      <c r="JE785" s="615">
        <f t="shared" si="245"/>
        <v>0</v>
      </c>
      <c r="JF785" s="615">
        <f t="shared" si="246"/>
        <v>0</v>
      </c>
      <c r="JG785" s="615">
        <f t="shared" si="247"/>
        <v>0</v>
      </c>
      <c r="JH785" s="615">
        <f t="shared" si="248"/>
        <v>0</v>
      </c>
      <c r="JI785" s="615">
        <f t="shared" si="249"/>
        <v>0</v>
      </c>
      <c r="JJ785" s="615">
        <f t="shared" si="250"/>
        <v>0</v>
      </c>
      <c r="JK785" s="615">
        <f t="shared" si="251"/>
        <v>0</v>
      </c>
      <c r="JL785" s="615">
        <f t="shared" si="252"/>
        <v>0</v>
      </c>
      <c r="JM785" s="615">
        <f t="shared" si="253"/>
        <v>0</v>
      </c>
      <c r="JN785" s="615">
        <f t="shared" si="254"/>
        <v>0</v>
      </c>
      <c r="JO785" s="615">
        <f t="shared" si="255"/>
        <v>0</v>
      </c>
      <c r="JP785" s="615">
        <f t="shared" si="256"/>
        <v>0</v>
      </c>
      <c r="JQ785" s="615">
        <f t="shared" si="257"/>
        <v>0</v>
      </c>
    </row>
    <row r="786" spans="1:278" ht="12" customHeight="1">
      <c r="A786" s="1190" t="str">
        <f t="shared" si="0"/>
        <v/>
      </c>
      <c r="B786" s="1545" t="str">
        <f>'Part VI-Revenues &amp; Expenses'!B43</f>
        <v>&lt;&lt;Select&gt;&gt;</v>
      </c>
      <c r="C786" s="1546">
        <f>'Part VI-Revenues &amp; Expenses'!C43</f>
        <v>0</v>
      </c>
      <c r="D786" s="1547">
        <f>'Part VI-Revenues &amp; Expenses'!D43</f>
        <v>0</v>
      </c>
      <c r="E786" s="1548">
        <f>'Part VI-Revenues &amp; Expenses'!E43</f>
        <v>0</v>
      </c>
      <c r="F786" s="1548">
        <f>'Part VI-Revenues &amp; Expenses'!F43</f>
        <v>0</v>
      </c>
      <c r="G786" s="1548">
        <f>'Part VI-Revenues &amp; Expenses'!G43</f>
        <v>0</v>
      </c>
      <c r="H786" s="1548">
        <f>'Part VI-Revenues &amp; Expenses'!H43</f>
        <v>0</v>
      </c>
      <c r="I786" s="1548">
        <f>'Part VI-Revenues &amp; Expenses'!I43</f>
        <v>0</v>
      </c>
      <c r="J786" s="1549">
        <f>'Part VI-Revenues &amp; Expenses'!J43</f>
        <v>0</v>
      </c>
      <c r="K786" s="1550">
        <f t="shared" si="1"/>
        <v>0</v>
      </c>
      <c r="L786" s="1550">
        <f t="shared" si="2"/>
        <v>0</v>
      </c>
      <c r="M786" s="1551">
        <f>'Part VI-Revenues &amp; Expenses'!M43</f>
        <v>0</v>
      </c>
      <c r="N786" s="1551">
        <f>'Part VI-Revenues &amp; Expenses'!N43</f>
        <v>0</v>
      </c>
      <c r="O786" s="1551">
        <f>'Part VI-Revenues &amp; Expenses'!O43</f>
        <v>0</v>
      </c>
      <c r="P786" s="1406">
        <f>'Part VI-Revenues &amp; Expenses'!P43</f>
        <v>0</v>
      </c>
      <c r="Q786" s="1552" t="str">
        <f>'Part VI-Revenues &amp; Expenses'!Q43</f>
        <v/>
      </c>
      <c r="R786" s="1553" t="str">
        <f>'Part VI-Revenues &amp; Expenses'!R43</f>
        <v/>
      </c>
      <c r="S786" s="1552">
        <f>'Part VI-Revenues &amp; Expenses'!S43</f>
        <v>0</v>
      </c>
      <c r="T786" s="1553">
        <f>'Part VI-Revenues &amp; Expenses'!T43</f>
        <v>0</v>
      </c>
      <c r="U786" s="1477"/>
      <c r="V786" s="1477"/>
      <c r="W786" s="531" t="str">
        <f t="shared" si="3"/>
        <v/>
      </c>
      <c r="X786" s="531" t="str">
        <f t="shared" si="4"/>
        <v/>
      </c>
      <c r="Y786" s="531" t="str">
        <f t="shared" si="5"/>
        <v/>
      </c>
      <c r="Z786" s="531" t="str">
        <f t="shared" si="6"/>
        <v/>
      </c>
      <c r="AA786" s="531" t="str">
        <f t="shared" si="7"/>
        <v/>
      </c>
      <c r="AB786" s="531" t="str">
        <f t="shared" si="8"/>
        <v/>
      </c>
      <c r="AC786" s="531" t="str">
        <f t="shared" si="9"/>
        <v/>
      </c>
      <c r="AD786" s="531" t="str">
        <f t="shared" si="10"/>
        <v/>
      </c>
      <c r="AE786" s="531" t="str">
        <f t="shared" si="11"/>
        <v/>
      </c>
      <c r="AF786" s="531" t="str">
        <f t="shared" si="12"/>
        <v/>
      </c>
      <c r="AG786" s="531" t="str">
        <f t="shared" si="13"/>
        <v/>
      </c>
      <c r="AH786" s="531" t="str">
        <f t="shared" si="14"/>
        <v/>
      </c>
      <c r="AI786" s="531" t="str">
        <f t="shared" si="15"/>
        <v/>
      </c>
      <c r="AJ786" s="531" t="str">
        <f t="shared" si="16"/>
        <v/>
      </c>
      <c r="AK786" s="531" t="str">
        <f t="shared" si="17"/>
        <v/>
      </c>
      <c r="AL786" s="531" t="str">
        <f t="shared" si="18"/>
        <v/>
      </c>
      <c r="AM786" s="531" t="str">
        <f t="shared" si="19"/>
        <v/>
      </c>
      <c r="AN786" s="531" t="str">
        <f t="shared" si="20"/>
        <v/>
      </c>
      <c r="AO786" s="531" t="str">
        <f t="shared" si="21"/>
        <v/>
      </c>
      <c r="AP786" s="531" t="str">
        <f t="shared" si="22"/>
        <v/>
      </c>
      <c r="AQ786" s="531" t="str">
        <f t="shared" si="23"/>
        <v/>
      </c>
      <c r="AR786" s="531" t="str">
        <f t="shared" si="24"/>
        <v/>
      </c>
      <c r="AS786" s="531" t="str">
        <f t="shared" si="25"/>
        <v/>
      </c>
      <c r="AT786" s="531" t="str">
        <f t="shared" si="26"/>
        <v/>
      </c>
      <c r="AU786" s="531" t="str">
        <f t="shared" si="27"/>
        <v/>
      </c>
      <c r="AV786" s="531" t="str">
        <f t="shared" si="28"/>
        <v/>
      </c>
      <c r="AW786" s="531" t="str">
        <f t="shared" si="29"/>
        <v/>
      </c>
      <c r="AX786" s="531" t="str">
        <f t="shared" si="30"/>
        <v/>
      </c>
      <c r="AY786" s="531" t="str">
        <f t="shared" si="31"/>
        <v/>
      </c>
      <c r="AZ786" s="531" t="str">
        <f t="shared" si="32"/>
        <v/>
      </c>
      <c r="BA786" s="531" t="str">
        <f t="shared" si="33"/>
        <v/>
      </c>
      <c r="BB786" s="531" t="str">
        <f t="shared" si="34"/>
        <v/>
      </c>
      <c r="BC786" s="531" t="str">
        <f t="shared" si="35"/>
        <v/>
      </c>
      <c r="BD786" s="531" t="str">
        <f t="shared" si="36"/>
        <v/>
      </c>
      <c r="BE786" s="531" t="str">
        <f t="shared" si="37"/>
        <v/>
      </c>
      <c r="BF786" s="531" t="str">
        <f t="shared" si="38"/>
        <v/>
      </c>
      <c r="BG786" s="531" t="str">
        <f t="shared" si="39"/>
        <v/>
      </c>
      <c r="BH786" s="531" t="str">
        <f t="shared" si="40"/>
        <v/>
      </c>
      <c r="BI786" s="531" t="str">
        <f t="shared" si="41"/>
        <v/>
      </c>
      <c r="BJ786" s="531" t="str">
        <f t="shared" si="42"/>
        <v/>
      </c>
      <c r="BK786" s="531" t="str">
        <f t="shared" si="43"/>
        <v/>
      </c>
      <c r="BL786" s="531" t="str">
        <f t="shared" si="44"/>
        <v/>
      </c>
      <c r="BM786" s="531" t="str">
        <f t="shared" si="45"/>
        <v/>
      </c>
      <c r="BN786" s="531" t="str">
        <f t="shared" si="46"/>
        <v/>
      </c>
      <c r="BO786" s="531" t="str">
        <f t="shared" si="47"/>
        <v/>
      </c>
      <c r="BP786" s="531" t="str">
        <f t="shared" si="48"/>
        <v/>
      </c>
      <c r="BQ786" s="531" t="str">
        <f t="shared" si="49"/>
        <v/>
      </c>
      <c r="BR786" s="531" t="str">
        <f t="shared" si="50"/>
        <v/>
      </c>
      <c r="BS786" s="531" t="str">
        <f t="shared" si="51"/>
        <v/>
      </c>
      <c r="BT786" s="531" t="str">
        <f t="shared" si="52"/>
        <v/>
      </c>
      <c r="BU786" s="531" t="str">
        <f t="shared" si="53"/>
        <v/>
      </c>
      <c r="BV786" s="531" t="str">
        <f t="shared" si="54"/>
        <v/>
      </c>
      <c r="BW786" s="531" t="str">
        <f t="shared" si="55"/>
        <v/>
      </c>
      <c r="BX786" s="531" t="str">
        <f t="shared" si="56"/>
        <v/>
      </c>
      <c r="BY786" s="531" t="str">
        <f t="shared" si="57"/>
        <v/>
      </c>
      <c r="BZ786" s="531" t="str">
        <f t="shared" si="58"/>
        <v/>
      </c>
      <c r="CA786" s="531" t="str">
        <f t="shared" si="59"/>
        <v/>
      </c>
      <c r="CB786" s="531" t="str">
        <f t="shared" si="60"/>
        <v/>
      </c>
      <c r="CC786" s="531" t="str">
        <f t="shared" si="61"/>
        <v/>
      </c>
      <c r="CD786" s="531" t="str">
        <f t="shared" si="62"/>
        <v/>
      </c>
      <c r="CE786" s="531" t="str">
        <f t="shared" si="63"/>
        <v/>
      </c>
      <c r="CF786" s="531" t="str">
        <f t="shared" si="64"/>
        <v/>
      </c>
      <c r="CG786" s="531" t="str">
        <f t="shared" si="65"/>
        <v/>
      </c>
      <c r="CH786" s="531" t="str">
        <f t="shared" si="66"/>
        <v/>
      </c>
      <c r="CI786" s="531" t="str">
        <f t="shared" si="67"/>
        <v/>
      </c>
      <c r="CJ786" s="531" t="str">
        <f t="shared" si="68"/>
        <v/>
      </c>
      <c r="CK786" s="531" t="str">
        <f t="shared" si="69"/>
        <v/>
      </c>
      <c r="CL786" s="531" t="str">
        <f t="shared" si="70"/>
        <v/>
      </c>
      <c r="CM786" s="531" t="str">
        <f t="shared" si="71"/>
        <v/>
      </c>
      <c r="CN786" s="531" t="str">
        <f t="shared" si="72"/>
        <v/>
      </c>
      <c r="CO786" s="531" t="str">
        <f t="shared" si="73"/>
        <v/>
      </c>
      <c r="CP786" s="531" t="str">
        <f t="shared" si="74"/>
        <v/>
      </c>
      <c r="CQ786" s="531" t="str">
        <f t="shared" si="75"/>
        <v/>
      </c>
      <c r="CR786" s="531" t="str">
        <f t="shared" si="76"/>
        <v/>
      </c>
      <c r="CS786" s="531" t="str">
        <f t="shared" si="77"/>
        <v/>
      </c>
      <c r="CT786" s="531" t="str">
        <f t="shared" si="78"/>
        <v/>
      </c>
      <c r="CU786" s="531" t="str">
        <f t="shared" si="79"/>
        <v/>
      </c>
      <c r="CV786" s="531" t="str">
        <f t="shared" si="80"/>
        <v/>
      </c>
      <c r="CW786" s="531" t="str">
        <f t="shared" si="81"/>
        <v/>
      </c>
      <c r="CX786" s="531" t="str">
        <f t="shared" si="82"/>
        <v/>
      </c>
      <c r="CY786" s="531" t="str">
        <f t="shared" si="83"/>
        <v/>
      </c>
      <c r="CZ786" s="531" t="str">
        <f t="shared" si="84"/>
        <v/>
      </c>
      <c r="DA786" s="531" t="str">
        <f t="shared" si="85"/>
        <v/>
      </c>
      <c r="DB786" s="531" t="str">
        <f t="shared" si="86"/>
        <v/>
      </c>
      <c r="DC786" s="531" t="str">
        <f t="shared" si="87"/>
        <v/>
      </c>
      <c r="DD786" s="531" t="str">
        <f t="shared" si="88"/>
        <v/>
      </c>
      <c r="DE786" s="531" t="str">
        <f t="shared" si="89"/>
        <v/>
      </c>
      <c r="DF786" s="531" t="str">
        <f t="shared" si="90"/>
        <v/>
      </c>
      <c r="DG786" s="531" t="str">
        <f t="shared" si="91"/>
        <v/>
      </c>
      <c r="DH786" s="531" t="str">
        <f t="shared" si="92"/>
        <v/>
      </c>
      <c r="DI786" s="531" t="str">
        <f t="shared" si="93"/>
        <v/>
      </c>
      <c r="DJ786" s="531" t="str">
        <f t="shared" si="94"/>
        <v/>
      </c>
      <c r="DK786" s="531" t="str">
        <f t="shared" si="95"/>
        <v/>
      </c>
      <c r="DL786" s="531" t="str">
        <f t="shared" si="96"/>
        <v/>
      </c>
      <c r="DM786" s="531" t="str">
        <f t="shared" si="97"/>
        <v/>
      </c>
      <c r="DN786" s="531" t="str">
        <f t="shared" si="98"/>
        <v/>
      </c>
      <c r="DO786" s="531" t="str">
        <f t="shared" si="99"/>
        <v/>
      </c>
      <c r="DP786" s="531" t="str">
        <f t="shared" si="100"/>
        <v/>
      </c>
      <c r="DQ786" s="531" t="str">
        <f t="shared" si="101"/>
        <v/>
      </c>
      <c r="DR786" s="531" t="str">
        <f t="shared" si="102"/>
        <v/>
      </c>
      <c r="DS786" s="531" t="str">
        <f t="shared" si="103"/>
        <v/>
      </c>
      <c r="DT786" s="531" t="str">
        <f t="shared" si="104"/>
        <v/>
      </c>
      <c r="DU786" s="531" t="str">
        <f t="shared" si="105"/>
        <v/>
      </c>
      <c r="DV786" s="531" t="str">
        <f t="shared" si="106"/>
        <v/>
      </c>
      <c r="DW786" s="531" t="str">
        <f t="shared" si="107"/>
        <v/>
      </c>
      <c r="DX786" s="531" t="str">
        <f t="shared" si="108"/>
        <v/>
      </c>
      <c r="DY786" s="531" t="str">
        <f t="shared" si="109"/>
        <v/>
      </c>
      <c r="DZ786" s="531" t="str">
        <f t="shared" si="110"/>
        <v/>
      </c>
      <c r="EA786" s="531" t="str">
        <f t="shared" si="111"/>
        <v/>
      </c>
      <c r="EB786" s="531" t="str">
        <f t="shared" si="112"/>
        <v/>
      </c>
      <c r="EC786" s="531" t="str">
        <f t="shared" si="113"/>
        <v/>
      </c>
      <c r="ED786" s="531" t="str">
        <f t="shared" si="114"/>
        <v/>
      </c>
      <c r="EE786" s="531" t="str">
        <f t="shared" si="115"/>
        <v/>
      </c>
      <c r="EF786" s="531" t="str">
        <f t="shared" si="116"/>
        <v/>
      </c>
      <c r="EG786" s="531" t="str">
        <f t="shared" si="117"/>
        <v/>
      </c>
      <c r="EH786" s="531" t="str">
        <f t="shared" si="118"/>
        <v/>
      </c>
      <c r="EI786" s="531" t="str">
        <f t="shared" si="119"/>
        <v/>
      </c>
      <c r="EJ786" s="531" t="str">
        <f t="shared" si="120"/>
        <v/>
      </c>
      <c r="EK786" s="531" t="str">
        <f t="shared" si="121"/>
        <v/>
      </c>
      <c r="EL786" s="531" t="str">
        <f t="shared" si="122"/>
        <v/>
      </c>
      <c r="EM786" s="531" t="str">
        <f t="shared" si="123"/>
        <v/>
      </c>
      <c r="EN786" s="531" t="str">
        <f t="shared" si="124"/>
        <v/>
      </c>
      <c r="EO786" s="531" t="str">
        <f t="shared" si="125"/>
        <v/>
      </c>
      <c r="EP786" s="531" t="str">
        <f t="shared" si="126"/>
        <v/>
      </c>
      <c r="EQ786" s="531" t="str">
        <f t="shared" si="127"/>
        <v/>
      </c>
      <c r="ER786" s="531" t="str">
        <f t="shared" si="128"/>
        <v/>
      </c>
      <c r="ES786" s="531" t="str">
        <f t="shared" si="129"/>
        <v/>
      </c>
      <c r="ET786" s="531" t="str">
        <f t="shared" si="130"/>
        <v/>
      </c>
      <c r="EU786" s="531" t="str">
        <f t="shared" si="131"/>
        <v/>
      </c>
      <c r="EV786" s="531" t="str">
        <f t="shared" si="132"/>
        <v/>
      </c>
      <c r="EW786" s="1554" t="str">
        <f t="shared" si="133"/>
        <v/>
      </c>
      <c r="EX786" s="1554" t="str">
        <f t="shared" si="134"/>
        <v/>
      </c>
      <c r="EY786" s="1554" t="str">
        <f t="shared" si="135"/>
        <v/>
      </c>
      <c r="EZ786" s="1554" t="str">
        <f t="shared" si="136"/>
        <v/>
      </c>
      <c r="FA786" s="1554" t="str">
        <f t="shared" si="137"/>
        <v/>
      </c>
      <c r="FB786" s="1554" t="str">
        <f t="shared" si="138"/>
        <v/>
      </c>
      <c r="FC786" s="1554" t="str">
        <f t="shared" si="139"/>
        <v/>
      </c>
      <c r="FD786" s="1554" t="str">
        <f t="shared" si="140"/>
        <v/>
      </c>
      <c r="FE786" s="1554" t="str">
        <f t="shared" si="141"/>
        <v/>
      </c>
      <c r="FF786" s="1554" t="str">
        <f t="shared" si="142"/>
        <v/>
      </c>
      <c r="FG786" s="1554" t="str">
        <f t="shared" si="143"/>
        <v/>
      </c>
      <c r="FH786" s="1554" t="str">
        <f t="shared" si="144"/>
        <v/>
      </c>
      <c r="FI786" s="1554" t="str">
        <f t="shared" si="145"/>
        <v/>
      </c>
      <c r="FJ786" s="1554" t="str">
        <f t="shared" si="146"/>
        <v/>
      </c>
      <c r="FK786" s="1554" t="str">
        <f t="shared" si="147"/>
        <v/>
      </c>
      <c r="FL786" s="1554" t="str">
        <f t="shared" si="148"/>
        <v/>
      </c>
      <c r="FM786" s="1554" t="str">
        <f t="shared" si="149"/>
        <v/>
      </c>
      <c r="FN786" s="1554" t="str">
        <f t="shared" si="150"/>
        <v/>
      </c>
      <c r="FO786" s="1554" t="str">
        <f t="shared" si="151"/>
        <v/>
      </c>
      <c r="FP786" s="1554" t="str">
        <f t="shared" si="152"/>
        <v/>
      </c>
      <c r="FQ786" s="1554" t="str">
        <f t="shared" si="153"/>
        <v/>
      </c>
      <c r="FR786" s="1554" t="str">
        <f t="shared" si="154"/>
        <v/>
      </c>
      <c r="FS786" s="1554" t="str">
        <f t="shared" si="155"/>
        <v/>
      </c>
      <c r="FT786" s="1554" t="str">
        <f t="shared" si="156"/>
        <v/>
      </c>
      <c r="FU786" s="1554" t="str">
        <f t="shared" si="157"/>
        <v/>
      </c>
      <c r="FV786" s="1554" t="str">
        <f t="shared" si="158"/>
        <v/>
      </c>
      <c r="FW786" s="1554" t="str">
        <f t="shared" si="159"/>
        <v/>
      </c>
      <c r="FX786" s="1554" t="str">
        <f t="shared" si="160"/>
        <v/>
      </c>
      <c r="FY786" s="1554" t="str">
        <f t="shared" si="161"/>
        <v/>
      </c>
      <c r="FZ786" s="1554" t="str">
        <f t="shared" si="162"/>
        <v/>
      </c>
      <c r="GA786" s="1554" t="str">
        <f t="shared" si="163"/>
        <v/>
      </c>
      <c r="GB786" s="1554" t="str">
        <f t="shared" si="164"/>
        <v/>
      </c>
      <c r="GC786" s="1554" t="str">
        <f t="shared" si="165"/>
        <v/>
      </c>
      <c r="GD786" s="1554" t="str">
        <f t="shared" si="166"/>
        <v/>
      </c>
      <c r="GE786" s="1554" t="str">
        <f t="shared" si="167"/>
        <v/>
      </c>
      <c r="GF786" s="1554" t="str">
        <f t="shared" si="168"/>
        <v/>
      </c>
      <c r="GG786" s="1554" t="str">
        <f t="shared" si="169"/>
        <v/>
      </c>
      <c r="GH786" s="1554" t="str">
        <f t="shared" si="170"/>
        <v/>
      </c>
      <c r="GI786" s="1554" t="str">
        <f t="shared" si="171"/>
        <v/>
      </c>
      <c r="GJ786" s="1554" t="str">
        <f t="shared" si="172"/>
        <v/>
      </c>
      <c r="GK786" s="1554" t="str">
        <f t="shared" si="173"/>
        <v/>
      </c>
      <c r="GL786" s="1554" t="str">
        <f t="shared" si="174"/>
        <v/>
      </c>
      <c r="GM786" s="1554" t="str">
        <f t="shared" si="175"/>
        <v/>
      </c>
      <c r="GN786" s="1554" t="str">
        <f t="shared" si="176"/>
        <v/>
      </c>
      <c r="GO786" s="1554" t="str">
        <f t="shared" si="177"/>
        <v/>
      </c>
      <c r="GP786" s="1554" t="str">
        <f t="shared" si="178"/>
        <v/>
      </c>
      <c r="GQ786" s="1554" t="str">
        <f t="shared" si="179"/>
        <v/>
      </c>
      <c r="GR786" s="1554" t="str">
        <f t="shared" si="180"/>
        <v/>
      </c>
      <c r="GS786" s="1554" t="str">
        <f t="shared" si="181"/>
        <v/>
      </c>
      <c r="GT786" s="1554" t="str">
        <f t="shared" si="182"/>
        <v/>
      </c>
      <c r="GU786" s="1554" t="str">
        <f t="shared" si="183"/>
        <v/>
      </c>
      <c r="GV786" s="1554" t="str">
        <f t="shared" si="184"/>
        <v/>
      </c>
      <c r="GW786" s="1554" t="str">
        <f t="shared" si="185"/>
        <v/>
      </c>
      <c r="GX786" s="1554" t="str">
        <f t="shared" si="186"/>
        <v/>
      </c>
      <c r="GY786" s="1554" t="str">
        <f t="shared" si="187"/>
        <v/>
      </c>
      <c r="GZ786" s="1554" t="str">
        <f t="shared" si="188"/>
        <v/>
      </c>
      <c r="HA786" s="1554" t="str">
        <f t="shared" si="189"/>
        <v/>
      </c>
      <c r="HB786" s="1554" t="str">
        <f t="shared" si="190"/>
        <v/>
      </c>
      <c r="HC786" s="1554" t="str">
        <f t="shared" si="191"/>
        <v/>
      </c>
      <c r="HD786" s="1554" t="str">
        <f t="shared" si="192"/>
        <v/>
      </c>
      <c r="HE786" s="1554" t="str">
        <f t="shared" si="193"/>
        <v/>
      </c>
      <c r="HF786" s="1554" t="str">
        <f t="shared" si="194"/>
        <v/>
      </c>
      <c r="HG786" s="1554" t="str">
        <f t="shared" si="195"/>
        <v/>
      </c>
      <c r="HH786" s="1554" t="str">
        <f t="shared" si="196"/>
        <v/>
      </c>
      <c r="HI786" s="1554" t="str">
        <f t="shared" si="197"/>
        <v/>
      </c>
      <c r="HJ786" s="1554" t="str">
        <f t="shared" si="198"/>
        <v/>
      </c>
      <c r="HK786" s="1554" t="str">
        <f t="shared" si="199"/>
        <v/>
      </c>
      <c r="HL786" s="1554" t="str">
        <f t="shared" si="200"/>
        <v/>
      </c>
      <c r="HM786" s="1554" t="str">
        <f t="shared" si="201"/>
        <v/>
      </c>
      <c r="HN786" s="1554" t="str">
        <f t="shared" si="202"/>
        <v/>
      </c>
      <c r="HO786" s="1554" t="str">
        <f t="shared" si="203"/>
        <v/>
      </c>
      <c r="HP786" s="1554" t="str">
        <f t="shared" si="204"/>
        <v/>
      </c>
      <c r="HQ786" s="1554" t="str">
        <f t="shared" si="205"/>
        <v/>
      </c>
      <c r="HR786" s="1554" t="str">
        <f t="shared" si="206"/>
        <v/>
      </c>
      <c r="HS786" s="1554" t="str">
        <f t="shared" si="207"/>
        <v/>
      </c>
      <c r="HT786" s="1554" t="str">
        <f t="shared" si="208"/>
        <v/>
      </c>
      <c r="HU786" s="1554" t="str">
        <f t="shared" si="209"/>
        <v/>
      </c>
      <c r="HV786" s="1554" t="str">
        <f t="shared" si="210"/>
        <v/>
      </c>
      <c r="HW786" s="1554" t="str">
        <f t="shared" si="211"/>
        <v/>
      </c>
      <c r="HX786" s="1554" t="str">
        <f t="shared" si="212"/>
        <v/>
      </c>
      <c r="HY786" s="1554" t="str">
        <f t="shared" si="213"/>
        <v/>
      </c>
      <c r="HZ786" s="1554" t="str">
        <f t="shared" si="214"/>
        <v/>
      </c>
      <c r="IA786" s="1554" t="str">
        <f t="shared" si="215"/>
        <v/>
      </c>
      <c r="IB786" s="1554" t="str">
        <f t="shared" si="216"/>
        <v/>
      </c>
      <c r="IC786" s="1554" t="str">
        <f t="shared" si="217"/>
        <v/>
      </c>
      <c r="ID786" s="31" t="str">
        <f t="shared" si="218"/>
        <v/>
      </c>
      <c r="IE786" s="31" t="str">
        <f t="shared" si="219"/>
        <v/>
      </c>
      <c r="IF786" s="31" t="str">
        <f t="shared" si="220"/>
        <v/>
      </c>
      <c r="IG786" s="31" t="str">
        <f t="shared" si="221"/>
        <v/>
      </c>
      <c r="IH786" s="31" t="str">
        <f t="shared" si="222"/>
        <v/>
      </c>
      <c r="II786" s="531" t="str">
        <f t="shared" si="223"/>
        <v/>
      </c>
      <c r="IJ786" s="531" t="str">
        <f t="shared" si="224"/>
        <v/>
      </c>
      <c r="IK786" s="531" t="str">
        <f t="shared" si="225"/>
        <v/>
      </c>
      <c r="IL786" s="531" t="str">
        <f t="shared" si="226"/>
        <v/>
      </c>
      <c r="IM786" s="531" t="str">
        <f t="shared" si="227"/>
        <v/>
      </c>
      <c r="IN786" s="531" t="str">
        <f t="shared" si="228"/>
        <v/>
      </c>
      <c r="IO786" s="531" t="str">
        <f t="shared" si="229"/>
        <v/>
      </c>
      <c r="IP786" s="531" t="str">
        <f t="shared" si="230"/>
        <v/>
      </c>
      <c r="IQ786" s="531" t="str">
        <f t="shared" si="231"/>
        <v/>
      </c>
      <c r="IR786" s="531" t="str">
        <f t="shared" si="232"/>
        <v/>
      </c>
      <c r="IS786" s="531" t="str">
        <f t="shared" si="233"/>
        <v/>
      </c>
      <c r="IT786" s="531" t="str">
        <f t="shared" si="234"/>
        <v/>
      </c>
      <c r="IU786" s="531" t="str">
        <f t="shared" si="235"/>
        <v/>
      </c>
      <c r="IV786" s="531" t="str">
        <f t="shared" si="236"/>
        <v/>
      </c>
      <c r="IW786" s="531" t="str">
        <f t="shared" si="237"/>
        <v/>
      </c>
      <c r="IX786" s="531" t="str">
        <f t="shared" si="238"/>
        <v/>
      </c>
      <c r="IY786" s="531" t="str">
        <f t="shared" si="239"/>
        <v/>
      </c>
      <c r="IZ786" s="531" t="str">
        <f t="shared" si="240"/>
        <v/>
      </c>
      <c r="JA786" s="531" t="str">
        <f t="shared" si="241"/>
        <v/>
      </c>
      <c r="JB786" s="531" t="str">
        <f t="shared" si="242"/>
        <v/>
      </c>
      <c r="JC786" s="615">
        <f t="shared" si="243"/>
        <v>0</v>
      </c>
      <c r="JD786" s="615">
        <f t="shared" si="244"/>
        <v>0</v>
      </c>
      <c r="JE786" s="615">
        <f t="shared" si="245"/>
        <v>0</v>
      </c>
      <c r="JF786" s="615">
        <f t="shared" si="246"/>
        <v>0</v>
      </c>
      <c r="JG786" s="615">
        <f t="shared" si="247"/>
        <v>0</v>
      </c>
      <c r="JH786" s="615">
        <f t="shared" si="248"/>
        <v>0</v>
      </c>
      <c r="JI786" s="615">
        <f t="shared" si="249"/>
        <v>0</v>
      </c>
      <c r="JJ786" s="615">
        <f t="shared" si="250"/>
        <v>0</v>
      </c>
      <c r="JK786" s="615">
        <f t="shared" si="251"/>
        <v>0</v>
      </c>
      <c r="JL786" s="615">
        <f t="shared" si="252"/>
        <v>0</v>
      </c>
      <c r="JM786" s="615">
        <f t="shared" si="253"/>
        <v>0</v>
      </c>
      <c r="JN786" s="615">
        <f t="shared" si="254"/>
        <v>0</v>
      </c>
      <c r="JO786" s="615">
        <f t="shared" si="255"/>
        <v>0</v>
      </c>
      <c r="JP786" s="615">
        <f t="shared" si="256"/>
        <v>0</v>
      </c>
      <c r="JQ786" s="615">
        <f t="shared" si="257"/>
        <v>0</v>
      </c>
    </row>
    <row r="787" spans="1:278" ht="12" customHeight="1">
      <c r="A787" s="1190" t="str">
        <f t="shared" si="0"/>
        <v/>
      </c>
      <c r="B787" s="1545" t="str">
        <f>'Part VI-Revenues &amp; Expenses'!B44</f>
        <v>&lt;&lt;Select&gt;&gt;</v>
      </c>
      <c r="C787" s="1546">
        <f>'Part VI-Revenues &amp; Expenses'!C44</f>
        <v>0</v>
      </c>
      <c r="D787" s="1547">
        <f>'Part VI-Revenues &amp; Expenses'!D44</f>
        <v>0</v>
      </c>
      <c r="E787" s="1548">
        <f>'Part VI-Revenues &amp; Expenses'!E44</f>
        <v>0</v>
      </c>
      <c r="F787" s="1548">
        <f>'Part VI-Revenues &amp; Expenses'!F44</f>
        <v>0</v>
      </c>
      <c r="G787" s="1548">
        <f>'Part VI-Revenues &amp; Expenses'!G44</f>
        <v>0</v>
      </c>
      <c r="H787" s="1548">
        <f>'Part VI-Revenues &amp; Expenses'!H44</f>
        <v>0</v>
      </c>
      <c r="I787" s="1548">
        <f>'Part VI-Revenues &amp; Expenses'!I44</f>
        <v>0</v>
      </c>
      <c r="J787" s="1549">
        <f>'Part VI-Revenues &amp; Expenses'!J44</f>
        <v>0</v>
      </c>
      <c r="K787" s="1550">
        <f t="shared" si="1"/>
        <v>0</v>
      </c>
      <c r="L787" s="1550">
        <f t="shared" si="2"/>
        <v>0</v>
      </c>
      <c r="M787" s="1551">
        <f>'Part VI-Revenues &amp; Expenses'!M44</f>
        <v>0</v>
      </c>
      <c r="N787" s="1551">
        <f>'Part VI-Revenues &amp; Expenses'!N44</f>
        <v>0</v>
      </c>
      <c r="O787" s="1551">
        <f>'Part VI-Revenues &amp; Expenses'!O44</f>
        <v>0</v>
      </c>
      <c r="P787" s="1406">
        <f>'Part VI-Revenues &amp; Expenses'!P44</f>
        <v>0</v>
      </c>
      <c r="Q787" s="1552" t="str">
        <f>'Part VI-Revenues &amp; Expenses'!Q44</f>
        <v/>
      </c>
      <c r="R787" s="1553" t="str">
        <f>'Part VI-Revenues &amp; Expenses'!R44</f>
        <v/>
      </c>
      <c r="S787" s="1552">
        <f>'Part VI-Revenues &amp; Expenses'!S44</f>
        <v>0</v>
      </c>
      <c r="T787" s="1553">
        <f>'Part VI-Revenues &amp; Expenses'!T44</f>
        <v>0</v>
      </c>
      <c r="U787" s="1477"/>
      <c r="V787" s="1477"/>
      <c r="W787" s="531" t="str">
        <f t="shared" si="3"/>
        <v/>
      </c>
      <c r="X787" s="531" t="str">
        <f t="shared" si="4"/>
        <v/>
      </c>
      <c r="Y787" s="531" t="str">
        <f t="shared" si="5"/>
        <v/>
      </c>
      <c r="Z787" s="531" t="str">
        <f t="shared" si="6"/>
        <v/>
      </c>
      <c r="AA787" s="531" t="str">
        <f t="shared" si="7"/>
        <v/>
      </c>
      <c r="AB787" s="531" t="str">
        <f t="shared" si="8"/>
        <v/>
      </c>
      <c r="AC787" s="531" t="str">
        <f t="shared" si="9"/>
        <v/>
      </c>
      <c r="AD787" s="531" t="str">
        <f t="shared" si="10"/>
        <v/>
      </c>
      <c r="AE787" s="531" t="str">
        <f t="shared" si="11"/>
        <v/>
      </c>
      <c r="AF787" s="531" t="str">
        <f t="shared" si="12"/>
        <v/>
      </c>
      <c r="AG787" s="531" t="str">
        <f t="shared" si="13"/>
        <v/>
      </c>
      <c r="AH787" s="531" t="str">
        <f t="shared" si="14"/>
        <v/>
      </c>
      <c r="AI787" s="531" t="str">
        <f t="shared" si="15"/>
        <v/>
      </c>
      <c r="AJ787" s="531" t="str">
        <f t="shared" si="16"/>
        <v/>
      </c>
      <c r="AK787" s="531" t="str">
        <f t="shared" si="17"/>
        <v/>
      </c>
      <c r="AL787" s="531" t="str">
        <f t="shared" si="18"/>
        <v/>
      </c>
      <c r="AM787" s="531" t="str">
        <f t="shared" si="19"/>
        <v/>
      </c>
      <c r="AN787" s="531" t="str">
        <f t="shared" si="20"/>
        <v/>
      </c>
      <c r="AO787" s="531" t="str">
        <f t="shared" si="21"/>
        <v/>
      </c>
      <c r="AP787" s="531" t="str">
        <f t="shared" si="22"/>
        <v/>
      </c>
      <c r="AQ787" s="531" t="str">
        <f t="shared" si="23"/>
        <v/>
      </c>
      <c r="AR787" s="531" t="str">
        <f t="shared" si="24"/>
        <v/>
      </c>
      <c r="AS787" s="531" t="str">
        <f t="shared" si="25"/>
        <v/>
      </c>
      <c r="AT787" s="531" t="str">
        <f t="shared" si="26"/>
        <v/>
      </c>
      <c r="AU787" s="531" t="str">
        <f t="shared" si="27"/>
        <v/>
      </c>
      <c r="AV787" s="531" t="str">
        <f t="shared" si="28"/>
        <v/>
      </c>
      <c r="AW787" s="531" t="str">
        <f t="shared" si="29"/>
        <v/>
      </c>
      <c r="AX787" s="531" t="str">
        <f t="shared" si="30"/>
        <v/>
      </c>
      <c r="AY787" s="531" t="str">
        <f t="shared" si="31"/>
        <v/>
      </c>
      <c r="AZ787" s="531" t="str">
        <f t="shared" si="32"/>
        <v/>
      </c>
      <c r="BA787" s="531" t="str">
        <f t="shared" si="33"/>
        <v/>
      </c>
      <c r="BB787" s="531" t="str">
        <f t="shared" si="34"/>
        <v/>
      </c>
      <c r="BC787" s="531" t="str">
        <f t="shared" si="35"/>
        <v/>
      </c>
      <c r="BD787" s="531" t="str">
        <f t="shared" si="36"/>
        <v/>
      </c>
      <c r="BE787" s="531" t="str">
        <f t="shared" si="37"/>
        <v/>
      </c>
      <c r="BF787" s="531" t="str">
        <f t="shared" si="38"/>
        <v/>
      </c>
      <c r="BG787" s="531" t="str">
        <f t="shared" si="39"/>
        <v/>
      </c>
      <c r="BH787" s="531" t="str">
        <f t="shared" si="40"/>
        <v/>
      </c>
      <c r="BI787" s="531" t="str">
        <f t="shared" si="41"/>
        <v/>
      </c>
      <c r="BJ787" s="531" t="str">
        <f t="shared" si="42"/>
        <v/>
      </c>
      <c r="BK787" s="531" t="str">
        <f t="shared" si="43"/>
        <v/>
      </c>
      <c r="BL787" s="531" t="str">
        <f t="shared" si="44"/>
        <v/>
      </c>
      <c r="BM787" s="531" t="str">
        <f t="shared" si="45"/>
        <v/>
      </c>
      <c r="BN787" s="531" t="str">
        <f t="shared" si="46"/>
        <v/>
      </c>
      <c r="BO787" s="531" t="str">
        <f t="shared" si="47"/>
        <v/>
      </c>
      <c r="BP787" s="531" t="str">
        <f t="shared" si="48"/>
        <v/>
      </c>
      <c r="BQ787" s="531" t="str">
        <f t="shared" si="49"/>
        <v/>
      </c>
      <c r="BR787" s="531" t="str">
        <f t="shared" si="50"/>
        <v/>
      </c>
      <c r="BS787" s="531" t="str">
        <f t="shared" si="51"/>
        <v/>
      </c>
      <c r="BT787" s="531" t="str">
        <f t="shared" si="52"/>
        <v/>
      </c>
      <c r="BU787" s="531" t="str">
        <f t="shared" si="53"/>
        <v/>
      </c>
      <c r="BV787" s="531" t="str">
        <f t="shared" si="54"/>
        <v/>
      </c>
      <c r="BW787" s="531" t="str">
        <f t="shared" si="55"/>
        <v/>
      </c>
      <c r="BX787" s="531" t="str">
        <f t="shared" si="56"/>
        <v/>
      </c>
      <c r="BY787" s="531" t="str">
        <f t="shared" si="57"/>
        <v/>
      </c>
      <c r="BZ787" s="531" t="str">
        <f t="shared" si="58"/>
        <v/>
      </c>
      <c r="CA787" s="531" t="str">
        <f t="shared" si="59"/>
        <v/>
      </c>
      <c r="CB787" s="531" t="str">
        <f t="shared" si="60"/>
        <v/>
      </c>
      <c r="CC787" s="531" t="str">
        <f t="shared" si="61"/>
        <v/>
      </c>
      <c r="CD787" s="531" t="str">
        <f t="shared" si="62"/>
        <v/>
      </c>
      <c r="CE787" s="531" t="str">
        <f t="shared" si="63"/>
        <v/>
      </c>
      <c r="CF787" s="531" t="str">
        <f t="shared" si="64"/>
        <v/>
      </c>
      <c r="CG787" s="531" t="str">
        <f t="shared" si="65"/>
        <v/>
      </c>
      <c r="CH787" s="531" t="str">
        <f t="shared" si="66"/>
        <v/>
      </c>
      <c r="CI787" s="531" t="str">
        <f t="shared" si="67"/>
        <v/>
      </c>
      <c r="CJ787" s="531" t="str">
        <f t="shared" si="68"/>
        <v/>
      </c>
      <c r="CK787" s="531" t="str">
        <f t="shared" si="69"/>
        <v/>
      </c>
      <c r="CL787" s="531" t="str">
        <f t="shared" si="70"/>
        <v/>
      </c>
      <c r="CM787" s="531" t="str">
        <f t="shared" si="71"/>
        <v/>
      </c>
      <c r="CN787" s="531" t="str">
        <f t="shared" si="72"/>
        <v/>
      </c>
      <c r="CO787" s="531" t="str">
        <f t="shared" si="73"/>
        <v/>
      </c>
      <c r="CP787" s="531" t="str">
        <f t="shared" si="74"/>
        <v/>
      </c>
      <c r="CQ787" s="531" t="str">
        <f t="shared" si="75"/>
        <v/>
      </c>
      <c r="CR787" s="531" t="str">
        <f t="shared" si="76"/>
        <v/>
      </c>
      <c r="CS787" s="531" t="str">
        <f t="shared" si="77"/>
        <v/>
      </c>
      <c r="CT787" s="531" t="str">
        <f t="shared" si="78"/>
        <v/>
      </c>
      <c r="CU787" s="531" t="str">
        <f t="shared" si="79"/>
        <v/>
      </c>
      <c r="CV787" s="531" t="str">
        <f t="shared" si="80"/>
        <v/>
      </c>
      <c r="CW787" s="531" t="str">
        <f t="shared" si="81"/>
        <v/>
      </c>
      <c r="CX787" s="531" t="str">
        <f t="shared" si="82"/>
        <v/>
      </c>
      <c r="CY787" s="531" t="str">
        <f t="shared" si="83"/>
        <v/>
      </c>
      <c r="CZ787" s="531" t="str">
        <f t="shared" si="84"/>
        <v/>
      </c>
      <c r="DA787" s="531" t="str">
        <f t="shared" si="85"/>
        <v/>
      </c>
      <c r="DB787" s="531" t="str">
        <f t="shared" si="86"/>
        <v/>
      </c>
      <c r="DC787" s="531" t="str">
        <f t="shared" si="87"/>
        <v/>
      </c>
      <c r="DD787" s="531" t="str">
        <f t="shared" si="88"/>
        <v/>
      </c>
      <c r="DE787" s="531" t="str">
        <f t="shared" si="89"/>
        <v/>
      </c>
      <c r="DF787" s="531" t="str">
        <f t="shared" si="90"/>
        <v/>
      </c>
      <c r="DG787" s="531" t="str">
        <f t="shared" si="91"/>
        <v/>
      </c>
      <c r="DH787" s="531" t="str">
        <f t="shared" si="92"/>
        <v/>
      </c>
      <c r="DI787" s="531" t="str">
        <f t="shared" si="93"/>
        <v/>
      </c>
      <c r="DJ787" s="531" t="str">
        <f t="shared" si="94"/>
        <v/>
      </c>
      <c r="DK787" s="531" t="str">
        <f t="shared" si="95"/>
        <v/>
      </c>
      <c r="DL787" s="531" t="str">
        <f t="shared" si="96"/>
        <v/>
      </c>
      <c r="DM787" s="531" t="str">
        <f t="shared" si="97"/>
        <v/>
      </c>
      <c r="DN787" s="531" t="str">
        <f t="shared" si="98"/>
        <v/>
      </c>
      <c r="DO787" s="531" t="str">
        <f t="shared" si="99"/>
        <v/>
      </c>
      <c r="DP787" s="531" t="str">
        <f t="shared" si="100"/>
        <v/>
      </c>
      <c r="DQ787" s="531" t="str">
        <f t="shared" si="101"/>
        <v/>
      </c>
      <c r="DR787" s="531" t="str">
        <f t="shared" si="102"/>
        <v/>
      </c>
      <c r="DS787" s="531" t="str">
        <f t="shared" si="103"/>
        <v/>
      </c>
      <c r="DT787" s="531" t="str">
        <f t="shared" si="104"/>
        <v/>
      </c>
      <c r="DU787" s="531" t="str">
        <f t="shared" si="105"/>
        <v/>
      </c>
      <c r="DV787" s="531" t="str">
        <f t="shared" si="106"/>
        <v/>
      </c>
      <c r="DW787" s="531" t="str">
        <f t="shared" si="107"/>
        <v/>
      </c>
      <c r="DX787" s="531" t="str">
        <f t="shared" si="108"/>
        <v/>
      </c>
      <c r="DY787" s="531" t="str">
        <f t="shared" si="109"/>
        <v/>
      </c>
      <c r="DZ787" s="531" t="str">
        <f t="shared" si="110"/>
        <v/>
      </c>
      <c r="EA787" s="531" t="str">
        <f t="shared" si="111"/>
        <v/>
      </c>
      <c r="EB787" s="531" t="str">
        <f t="shared" si="112"/>
        <v/>
      </c>
      <c r="EC787" s="531" t="str">
        <f t="shared" si="113"/>
        <v/>
      </c>
      <c r="ED787" s="531" t="str">
        <f t="shared" si="114"/>
        <v/>
      </c>
      <c r="EE787" s="531" t="str">
        <f t="shared" si="115"/>
        <v/>
      </c>
      <c r="EF787" s="531" t="str">
        <f t="shared" si="116"/>
        <v/>
      </c>
      <c r="EG787" s="531" t="str">
        <f t="shared" si="117"/>
        <v/>
      </c>
      <c r="EH787" s="531" t="str">
        <f t="shared" si="118"/>
        <v/>
      </c>
      <c r="EI787" s="531" t="str">
        <f t="shared" si="119"/>
        <v/>
      </c>
      <c r="EJ787" s="531" t="str">
        <f t="shared" si="120"/>
        <v/>
      </c>
      <c r="EK787" s="531" t="str">
        <f t="shared" si="121"/>
        <v/>
      </c>
      <c r="EL787" s="531" t="str">
        <f t="shared" si="122"/>
        <v/>
      </c>
      <c r="EM787" s="531" t="str">
        <f t="shared" si="123"/>
        <v/>
      </c>
      <c r="EN787" s="531" t="str">
        <f t="shared" si="124"/>
        <v/>
      </c>
      <c r="EO787" s="531" t="str">
        <f t="shared" si="125"/>
        <v/>
      </c>
      <c r="EP787" s="531" t="str">
        <f t="shared" si="126"/>
        <v/>
      </c>
      <c r="EQ787" s="531" t="str">
        <f t="shared" si="127"/>
        <v/>
      </c>
      <c r="ER787" s="531" t="str">
        <f t="shared" si="128"/>
        <v/>
      </c>
      <c r="ES787" s="531" t="str">
        <f t="shared" si="129"/>
        <v/>
      </c>
      <c r="ET787" s="531" t="str">
        <f t="shared" si="130"/>
        <v/>
      </c>
      <c r="EU787" s="531" t="str">
        <f t="shared" si="131"/>
        <v/>
      </c>
      <c r="EV787" s="531" t="str">
        <f t="shared" si="132"/>
        <v/>
      </c>
      <c r="EW787" s="1554" t="str">
        <f t="shared" si="133"/>
        <v/>
      </c>
      <c r="EX787" s="1554" t="str">
        <f t="shared" si="134"/>
        <v/>
      </c>
      <c r="EY787" s="1554" t="str">
        <f t="shared" si="135"/>
        <v/>
      </c>
      <c r="EZ787" s="1554" t="str">
        <f t="shared" si="136"/>
        <v/>
      </c>
      <c r="FA787" s="1554" t="str">
        <f t="shared" si="137"/>
        <v/>
      </c>
      <c r="FB787" s="1554" t="str">
        <f t="shared" si="138"/>
        <v/>
      </c>
      <c r="FC787" s="1554" t="str">
        <f t="shared" si="139"/>
        <v/>
      </c>
      <c r="FD787" s="1554" t="str">
        <f t="shared" si="140"/>
        <v/>
      </c>
      <c r="FE787" s="1554" t="str">
        <f t="shared" si="141"/>
        <v/>
      </c>
      <c r="FF787" s="1554" t="str">
        <f t="shared" si="142"/>
        <v/>
      </c>
      <c r="FG787" s="1554" t="str">
        <f t="shared" si="143"/>
        <v/>
      </c>
      <c r="FH787" s="1554" t="str">
        <f t="shared" si="144"/>
        <v/>
      </c>
      <c r="FI787" s="1554" t="str">
        <f t="shared" si="145"/>
        <v/>
      </c>
      <c r="FJ787" s="1554" t="str">
        <f t="shared" si="146"/>
        <v/>
      </c>
      <c r="FK787" s="1554" t="str">
        <f t="shared" si="147"/>
        <v/>
      </c>
      <c r="FL787" s="1554" t="str">
        <f t="shared" si="148"/>
        <v/>
      </c>
      <c r="FM787" s="1554" t="str">
        <f t="shared" si="149"/>
        <v/>
      </c>
      <c r="FN787" s="1554" t="str">
        <f t="shared" si="150"/>
        <v/>
      </c>
      <c r="FO787" s="1554" t="str">
        <f t="shared" si="151"/>
        <v/>
      </c>
      <c r="FP787" s="1554" t="str">
        <f t="shared" si="152"/>
        <v/>
      </c>
      <c r="FQ787" s="1554" t="str">
        <f t="shared" si="153"/>
        <v/>
      </c>
      <c r="FR787" s="1554" t="str">
        <f t="shared" si="154"/>
        <v/>
      </c>
      <c r="FS787" s="1554" t="str">
        <f t="shared" si="155"/>
        <v/>
      </c>
      <c r="FT787" s="1554" t="str">
        <f t="shared" si="156"/>
        <v/>
      </c>
      <c r="FU787" s="1554" t="str">
        <f t="shared" si="157"/>
        <v/>
      </c>
      <c r="FV787" s="1554" t="str">
        <f t="shared" si="158"/>
        <v/>
      </c>
      <c r="FW787" s="1554" t="str">
        <f t="shared" si="159"/>
        <v/>
      </c>
      <c r="FX787" s="1554" t="str">
        <f t="shared" si="160"/>
        <v/>
      </c>
      <c r="FY787" s="1554" t="str">
        <f t="shared" si="161"/>
        <v/>
      </c>
      <c r="FZ787" s="1554" t="str">
        <f t="shared" si="162"/>
        <v/>
      </c>
      <c r="GA787" s="1554" t="str">
        <f t="shared" si="163"/>
        <v/>
      </c>
      <c r="GB787" s="1554" t="str">
        <f t="shared" si="164"/>
        <v/>
      </c>
      <c r="GC787" s="1554" t="str">
        <f t="shared" si="165"/>
        <v/>
      </c>
      <c r="GD787" s="1554" t="str">
        <f t="shared" si="166"/>
        <v/>
      </c>
      <c r="GE787" s="1554" t="str">
        <f t="shared" si="167"/>
        <v/>
      </c>
      <c r="GF787" s="1554" t="str">
        <f t="shared" si="168"/>
        <v/>
      </c>
      <c r="GG787" s="1554" t="str">
        <f t="shared" si="169"/>
        <v/>
      </c>
      <c r="GH787" s="1554" t="str">
        <f t="shared" si="170"/>
        <v/>
      </c>
      <c r="GI787" s="1554" t="str">
        <f t="shared" si="171"/>
        <v/>
      </c>
      <c r="GJ787" s="1554" t="str">
        <f t="shared" si="172"/>
        <v/>
      </c>
      <c r="GK787" s="1554" t="str">
        <f t="shared" si="173"/>
        <v/>
      </c>
      <c r="GL787" s="1554" t="str">
        <f t="shared" si="174"/>
        <v/>
      </c>
      <c r="GM787" s="1554" t="str">
        <f t="shared" si="175"/>
        <v/>
      </c>
      <c r="GN787" s="1554" t="str">
        <f t="shared" si="176"/>
        <v/>
      </c>
      <c r="GO787" s="1554" t="str">
        <f t="shared" si="177"/>
        <v/>
      </c>
      <c r="GP787" s="1554" t="str">
        <f t="shared" si="178"/>
        <v/>
      </c>
      <c r="GQ787" s="1554" t="str">
        <f t="shared" si="179"/>
        <v/>
      </c>
      <c r="GR787" s="1554" t="str">
        <f t="shared" si="180"/>
        <v/>
      </c>
      <c r="GS787" s="1554" t="str">
        <f t="shared" si="181"/>
        <v/>
      </c>
      <c r="GT787" s="1554" t="str">
        <f t="shared" si="182"/>
        <v/>
      </c>
      <c r="GU787" s="1554" t="str">
        <f t="shared" si="183"/>
        <v/>
      </c>
      <c r="GV787" s="1554" t="str">
        <f t="shared" si="184"/>
        <v/>
      </c>
      <c r="GW787" s="1554" t="str">
        <f t="shared" si="185"/>
        <v/>
      </c>
      <c r="GX787" s="1554" t="str">
        <f t="shared" si="186"/>
        <v/>
      </c>
      <c r="GY787" s="1554" t="str">
        <f t="shared" si="187"/>
        <v/>
      </c>
      <c r="GZ787" s="1554" t="str">
        <f t="shared" si="188"/>
        <v/>
      </c>
      <c r="HA787" s="1554" t="str">
        <f t="shared" si="189"/>
        <v/>
      </c>
      <c r="HB787" s="1554" t="str">
        <f t="shared" si="190"/>
        <v/>
      </c>
      <c r="HC787" s="1554" t="str">
        <f t="shared" si="191"/>
        <v/>
      </c>
      <c r="HD787" s="1554" t="str">
        <f t="shared" si="192"/>
        <v/>
      </c>
      <c r="HE787" s="1554" t="str">
        <f t="shared" si="193"/>
        <v/>
      </c>
      <c r="HF787" s="1554" t="str">
        <f t="shared" si="194"/>
        <v/>
      </c>
      <c r="HG787" s="1554" t="str">
        <f t="shared" si="195"/>
        <v/>
      </c>
      <c r="HH787" s="1554" t="str">
        <f t="shared" si="196"/>
        <v/>
      </c>
      <c r="HI787" s="1554" t="str">
        <f t="shared" si="197"/>
        <v/>
      </c>
      <c r="HJ787" s="1554" t="str">
        <f t="shared" si="198"/>
        <v/>
      </c>
      <c r="HK787" s="1554" t="str">
        <f t="shared" si="199"/>
        <v/>
      </c>
      <c r="HL787" s="1554" t="str">
        <f t="shared" si="200"/>
        <v/>
      </c>
      <c r="HM787" s="1554" t="str">
        <f t="shared" si="201"/>
        <v/>
      </c>
      <c r="HN787" s="1554" t="str">
        <f t="shared" si="202"/>
        <v/>
      </c>
      <c r="HO787" s="1554" t="str">
        <f t="shared" si="203"/>
        <v/>
      </c>
      <c r="HP787" s="1554" t="str">
        <f t="shared" si="204"/>
        <v/>
      </c>
      <c r="HQ787" s="1554" t="str">
        <f t="shared" si="205"/>
        <v/>
      </c>
      <c r="HR787" s="1554" t="str">
        <f t="shared" si="206"/>
        <v/>
      </c>
      <c r="HS787" s="1554" t="str">
        <f t="shared" si="207"/>
        <v/>
      </c>
      <c r="HT787" s="1554" t="str">
        <f t="shared" si="208"/>
        <v/>
      </c>
      <c r="HU787" s="1554" t="str">
        <f t="shared" si="209"/>
        <v/>
      </c>
      <c r="HV787" s="1554" t="str">
        <f t="shared" si="210"/>
        <v/>
      </c>
      <c r="HW787" s="1554" t="str">
        <f t="shared" si="211"/>
        <v/>
      </c>
      <c r="HX787" s="1554" t="str">
        <f t="shared" si="212"/>
        <v/>
      </c>
      <c r="HY787" s="1554" t="str">
        <f t="shared" si="213"/>
        <v/>
      </c>
      <c r="HZ787" s="1554" t="str">
        <f t="shared" si="214"/>
        <v/>
      </c>
      <c r="IA787" s="1554" t="str">
        <f t="shared" si="215"/>
        <v/>
      </c>
      <c r="IB787" s="1554" t="str">
        <f t="shared" si="216"/>
        <v/>
      </c>
      <c r="IC787" s="1554" t="str">
        <f t="shared" si="217"/>
        <v/>
      </c>
      <c r="ID787" s="31" t="str">
        <f t="shared" si="218"/>
        <v/>
      </c>
      <c r="IE787" s="31" t="str">
        <f t="shared" si="219"/>
        <v/>
      </c>
      <c r="IF787" s="31" t="str">
        <f t="shared" si="220"/>
        <v/>
      </c>
      <c r="IG787" s="31" t="str">
        <f t="shared" si="221"/>
        <v/>
      </c>
      <c r="IH787" s="31" t="str">
        <f t="shared" si="222"/>
        <v/>
      </c>
      <c r="II787" s="531" t="str">
        <f t="shared" si="223"/>
        <v/>
      </c>
      <c r="IJ787" s="531" t="str">
        <f t="shared" si="224"/>
        <v/>
      </c>
      <c r="IK787" s="531" t="str">
        <f t="shared" si="225"/>
        <v/>
      </c>
      <c r="IL787" s="531" t="str">
        <f t="shared" si="226"/>
        <v/>
      </c>
      <c r="IM787" s="531" t="str">
        <f t="shared" si="227"/>
        <v/>
      </c>
      <c r="IN787" s="531" t="str">
        <f t="shared" si="228"/>
        <v/>
      </c>
      <c r="IO787" s="531" t="str">
        <f t="shared" si="229"/>
        <v/>
      </c>
      <c r="IP787" s="531" t="str">
        <f t="shared" si="230"/>
        <v/>
      </c>
      <c r="IQ787" s="531" t="str">
        <f t="shared" si="231"/>
        <v/>
      </c>
      <c r="IR787" s="531" t="str">
        <f t="shared" si="232"/>
        <v/>
      </c>
      <c r="IS787" s="531" t="str">
        <f t="shared" si="233"/>
        <v/>
      </c>
      <c r="IT787" s="531" t="str">
        <f t="shared" si="234"/>
        <v/>
      </c>
      <c r="IU787" s="531" t="str">
        <f t="shared" si="235"/>
        <v/>
      </c>
      <c r="IV787" s="531" t="str">
        <f t="shared" si="236"/>
        <v/>
      </c>
      <c r="IW787" s="531" t="str">
        <f t="shared" si="237"/>
        <v/>
      </c>
      <c r="IX787" s="531" t="str">
        <f t="shared" si="238"/>
        <v/>
      </c>
      <c r="IY787" s="531" t="str">
        <f t="shared" si="239"/>
        <v/>
      </c>
      <c r="IZ787" s="531" t="str">
        <f t="shared" si="240"/>
        <v/>
      </c>
      <c r="JA787" s="531" t="str">
        <f t="shared" si="241"/>
        <v/>
      </c>
      <c r="JB787" s="531" t="str">
        <f t="shared" si="242"/>
        <v/>
      </c>
      <c r="JC787" s="615">
        <f t="shared" si="243"/>
        <v>0</v>
      </c>
      <c r="JD787" s="615">
        <f t="shared" si="244"/>
        <v>0</v>
      </c>
      <c r="JE787" s="615">
        <f t="shared" si="245"/>
        <v>0</v>
      </c>
      <c r="JF787" s="615">
        <f t="shared" si="246"/>
        <v>0</v>
      </c>
      <c r="JG787" s="615">
        <f t="shared" si="247"/>
        <v>0</v>
      </c>
      <c r="JH787" s="615">
        <f t="shared" si="248"/>
        <v>0</v>
      </c>
      <c r="JI787" s="615">
        <f t="shared" si="249"/>
        <v>0</v>
      </c>
      <c r="JJ787" s="615">
        <f t="shared" si="250"/>
        <v>0</v>
      </c>
      <c r="JK787" s="615">
        <f t="shared" si="251"/>
        <v>0</v>
      </c>
      <c r="JL787" s="615">
        <f t="shared" si="252"/>
        <v>0</v>
      </c>
      <c r="JM787" s="615">
        <f t="shared" si="253"/>
        <v>0</v>
      </c>
      <c r="JN787" s="615">
        <f t="shared" si="254"/>
        <v>0</v>
      </c>
      <c r="JO787" s="615">
        <f t="shared" si="255"/>
        <v>0</v>
      </c>
      <c r="JP787" s="615">
        <f t="shared" si="256"/>
        <v>0</v>
      </c>
      <c r="JQ787" s="615">
        <f t="shared" si="257"/>
        <v>0</v>
      </c>
    </row>
    <row r="788" spans="1:278" ht="12" customHeight="1">
      <c r="A788" s="1190" t="str">
        <f t="shared" si="0"/>
        <v/>
      </c>
      <c r="B788" s="1545" t="str">
        <f>'Part VI-Revenues &amp; Expenses'!B45</f>
        <v>&lt;&lt;Select&gt;&gt;</v>
      </c>
      <c r="C788" s="1546">
        <f>'Part VI-Revenues &amp; Expenses'!C45</f>
        <v>0</v>
      </c>
      <c r="D788" s="1547">
        <f>'Part VI-Revenues &amp; Expenses'!D45</f>
        <v>0</v>
      </c>
      <c r="E788" s="1548">
        <f>'Part VI-Revenues &amp; Expenses'!E45</f>
        <v>0</v>
      </c>
      <c r="F788" s="1548">
        <f>'Part VI-Revenues &amp; Expenses'!F45</f>
        <v>0</v>
      </c>
      <c r="G788" s="1548">
        <f>'Part VI-Revenues &amp; Expenses'!G45</f>
        <v>0</v>
      </c>
      <c r="H788" s="1548">
        <f>'Part VI-Revenues &amp; Expenses'!H45</f>
        <v>0</v>
      </c>
      <c r="I788" s="1548">
        <f>'Part VI-Revenues &amp; Expenses'!I45</f>
        <v>0</v>
      </c>
      <c r="J788" s="1549">
        <f>'Part VI-Revenues &amp; Expenses'!J45</f>
        <v>0</v>
      </c>
      <c r="K788" s="1550">
        <f t="shared" si="1"/>
        <v>0</v>
      </c>
      <c r="L788" s="1550">
        <f t="shared" si="2"/>
        <v>0</v>
      </c>
      <c r="M788" s="1551">
        <f>'Part VI-Revenues &amp; Expenses'!M45</f>
        <v>0</v>
      </c>
      <c r="N788" s="1551">
        <f>'Part VI-Revenues &amp; Expenses'!N45</f>
        <v>0</v>
      </c>
      <c r="O788" s="1551">
        <f>'Part VI-Revenues &amp; Expenses'!O45</f>
        <v>0</v>
      </c>
      <c r="P788" s="1406">
        <f>'Part VI-Revenues &amp; Expenses'!P45</f>
        <v>0</v>
      </c>
      <c r="Q788" s="1552" t="str">
        <f>'Part VI-Revenues &amp; Expenses'!Q45</f>
        <v/>
      </c>
      <c r="R788" s="1553" t="str">
        <f>'Part VI-Revenues &amp; Expenses'!R45</f>
        <v/>
      </c>
      <c r="S788" s="1552">
        <f>'Part VI-Revenues &amp; Expenses'!S45</f>
        <v>0</v>
      </c>
      <c r="T788" s="1553">
        <f>'Part VI-Revenues &amp; Expenses'!T45</f>
        <v>0</v>
      </c>
      <c r="U788" s="1477"/>
      <c r="V788" s="1477"/>
      <c r="W788" s="531" t="str">
        <f t="shared" si="3"/>
        <v/>
      </c>
      <c r="X788" s="531" t="str">
        <f t="shared" si="4"/>
        <v/>
      </c>
      <c r="Y788" s="531" t="str">
        <f t="shared" si="5"/>
        <v/>
      </c>
      <c r="Z788" s="531" t="str">
        <f t="shared" si="6"/>
        <v/>
      </c>
      <c r="AA788" s="531" t="str">
        <f t="shared" si="7"/>
        <v/>
      </c>
      <c r="AB788" s="531" t="str">
        <f t="shared" si="8"/>
        <v/>
      </c>
      <c r="AC788" s="531" t="str">
        <f t="shared" si="9"/>
        <v/>
      </c>
      <c r="AD788" s="531" t="str">
        <f t="shared" si="10"/>
        <v/>
      </c>
      <c r="AE788" s="531" t="str">
        <f t="shared" si="11"/>
        <v/>
      </c>
      <c r="AF788" s="531" t="str">
        <f t="shared" si="12"/>
        <v/>
      </c>
      <c r="AG788" s="531" t="str">
        <f t="shared" si="13"/>
        <v/>
      </c>
      <c r="AH788" s="531" t="str">
        <f t="shared" si="14"/>
        <v/>
      </c>
      <c r="AI788" s="531" t="str">
        <f t="shared" si="15"/>
        <v/>
      </c>
      <c r="AJ788" s="531" t="str">
        <f t="shared" si="16"/>
        <v/>
      </c>
      <c r="AK788" s="531" t="str">
        <f t="shared" si="17"/>
        <v/>
      </c>
      <c r="AL788" s="531" t="str">
        <f t="shared" si="18"/>
        <v/>
      </c>
      <c r="AM788" s="531" t="str">
        <f t="shared" si="19"/>
        <v/>
      </c>
      <c r="AN788" s="531" t="str">
        <f t="shared" si="20"/>
        <v/>
      </c>
      <c r="AO788" s="531" t="str">
        <f t="shared" si="21"/>
        <v/>
      </c>
      <c r="AP788" s="531" t="str">
        <f t="shared" si="22"/>
        <v/>
      </c>
      <c r="AQ788" s="531" t="str">
        <f t="shared" si="23"/>
        <v/>
      </c>
      <c r="AR788" s="531" t="str">
        <f t="shared" si="24"/>
        <v/>
      </c>
      <c r="AS788" s="531" t="str">
        <f t="shared" si="25"/>
        <v/>
      </c>
      <c r="AT788" s="531" t="str">
        <f t="shared" si="26"/>
        <v/>
      </c>
      <c r="AU788" s="531" t="str">
        <f t="shared" si="27"/>
        <v/>
      </c>
      <c r="AV788" s="531" t="str">
        <f t="shared" si="28"/>
        <v/>
      </c>
      <c r="AW788" s="531" t="str">
        <f t="shared" si="29"/>
        <v/>
      </c>
      <c r="AX788" s="531" t="str">
        <f t="shared" si="30"/>
        <v/>
      </c>
      <c r="AY788" s="531" t="str">
        <f t="shared" si="31"/>
        <v/>
      </c>
      <c r="AZ788" s="531" t="str">
        <f t="shared" si="32"/>
        <v/>
      </c>
      <c r="BA788" s="531" t="str">
        <f t="shared" si="33"/>
        <v/>
      </c>
      <c r="BB788" s="531" t="str">
        <f t="shared" si="34"/>
        <v/>
      </c>
      <c r="BC788" s="531" t="str">
        <f t="shared" si="35"/>
        <v/>
      </c>
      <c r="BD788" s="531" t="str">
        <f t="shared" si="36"/>
        <v/>
      </c>
      <c r="BE788" s="531" t="str">
        <f t="shared" si="37"/>
        <v/>
      </c>
      <c r="BF788" s="531" t="str">
        <f t="shared" si="38"/>
        <v/>
      </c>
      <c r="BG788" s="531" t="str">
        <f t="shared" si="39"/>
        <v/>
      </c>
      <c r="BH788" s="531" t="str">
        <f t="shared" si="40"/>
        <v/>
      </c>
      <c r="BI788" s="531" t="str">
        <f t="shared" si="41"/>
        <v/>
      </c>
      <c r="BJ788" s="531" t="str">
        <f t="shared" si="42"/>
        <v/>
      </c>
      <c r="BK788" s="531" t="str">
        <f t="shared" si="43"/>
        <v/>
      </c>
      <c r="BL788" s="531" t="str">
        <f t="shared" si="44"/>
        <v/>
      </c>
      <c r="BM788" s="531" t="str">
        <f t="shared" si="45"/>
        <v/>
      </c>
      <c r="BN788" s="531" t="str">
        <f t="shared" si="46"/>
        <v/>
      </c>
      <c r="BO788" s="531" t="str">
        <f t="shared" si="47"/>
        <v/>
      </c>
      <c r="BP788" s="531" t="str">
        <f t="shared" si="48"/>
        <v/>
      </c>
      <c r="BQ788" s="531" t="str">
        <f t="shared" si="49"/>
        <v/>
      </c>
      <c r="BR788" s="531" t="str">
        <f t="shared" si="50"/>
        <v/>
      </c>
      <c r="BS788" s="531" t="str">
        <f t="shared" si="51"/>
        <v/>
      </c>
      <c r="BT788" s="531" t="str">
        <f t="shared" si="52"/>
        <v/>
      </c>
      <c r="BU788" s="531" t="str">
        <f t="shared" si="53"/>
        <v/>
      </c>
      <c r="BV788" s="531" t="str">
        <f t="shared" si="54"/>
        <v/>
      </c>
      <c r="BW788" s="531" t="str">
        <f t="shared" si="55"/>
        <v/>
      </c>
      <c r="BX788" s="531" t="str">
        <f t="shared" si="56"/>
        <v/>
      </c>
      <c r="BY788" s="531" t="str">
        <f t="shared" si="57"/>
        <v/>
      </c>
      <c r="BZ788" s="531" t="str">
        <f t="shared" si="58"/>
        <v/>
      </c>
      <c r="CA788" s="531" t="str">
        <f t="shared" si="59"/>
        <v/>
      </c>
      <c r="CB788" s="531" t="str">
        <f t="shared" si="60"/>
        <v/>
      </c>
      <c r="CC788" s="531" t="str">
        <f t="shared" si="61"/>
        <v/>
      </c>
      <c r="CD788" s="531" t="str">
        <f t="shared" si="62"/>
        <v/>
      </c>
      <c r="CE788" s="531" t="str">
        <f t="shared" si="63"/>
        <v/>
      </c>
      <c r="CF788" s="531" t="str">
        <f t="shared" si="64"/>
        <v/>
      </c>
      <c r="CG788" s="531" t="str">
        <f t="shared" si="65"/>
        <v/>
      </c>
      <c r="CH788" s="531" t="str">
        <f t="shared" si="66"/>
        <v/>
      </c>
      <c r="CI788" s="531" t="str">
        <f t="shared" si="67"/>
        <v/>
      </c>
      <c r="CJ788" s="531" t="str">
        <f t="shared" si="68"/>
        <v/>
      </c>
      <c r="CK788" s="531" t="str">
        <f t="shared" si="69"/>
        <v/>
      </c>
      <c r="CL788" s="531" t="str">
        <f t="shared" si="70"/>
        <v/>
      </c>
      <c r="CM788" s="531" t="str">
        <f t="shared" si="71"/>
        <v/>
      </c>
      <c r="CN788" s="531" t="str">
        <f t="shared" si="72"/>
        <v/>
      </c>
      <c r="CO788" s="531" t="str">
        <f t="shared" si="73"/>
        <v/>
      </c>
      <c r="CP788" s="531" t="str">
        <f t="shared" si="74"/>
        <v/>
      </c>
      <c r="CQ788" s="531" t="str">
        <f t="shared" si="75"/>
        <v/>
      </c>
      <c r="CR788" s="531" t="str">
        <f t="shared" si="76"/>
        <v/>
      </c>
      <c r="CS788" s="531" t="str">
        <f t="shared" si="77"/>
        <v/>
      </c>
      <c r="CT788" s="531" t="str">
        <f t="shared" si="78"/>
        <v/>
      </c>
      <c r="CU788" s="531" t="str">
        <f t="shared" si="79"/>
        <v/>
      </c>
      <c r="CV788" s="531" t="str">
        <f t="shared" si="80"/>
        <v/>
      </c>
      <c r="CW788" s="531" t="str">
        <f t="shared" si="81"/>
        <v/>
      </c>
      <c r="CX788" s="531" t="str">
        <f t="shared" si="82"/>
        <v/>
      </c>
      <c r="CY788" s="531" t="str">
        <f t="shared" si="83"/>
        <v/>
      </c>
      <c r="CZ788" s="531" t="str">
        <f t="shared" si="84"/>
        <v/>
      </c>
      <c r="DA788" s="531" t="str">
        <f t="shared" si="85"/>
        <v/>
      </c>
      <c r="DB788" s="531" t="str">
        <f t="shared" si="86"/>
        <v/>
      </c>
      <c r="DC788" s="531" t="str">
        <f t="shared" si="87"/>
        <v/>
      </c>
      <c r="DD788" s="531" t="str">
        <f t="shared" si="88"/>
        <v/>
      </c>
      <c r="DE788" s="531" t="str">
        <f t="shared" si="89"/>
        <v/>
      </c>
      <c r="DF788" s="531" t="str">
        <f t="shared" si="90"/>
        <v/>
      </c>
      <c r="DG788" s="531" t="str">
        <f t="shared" si="91"/>
        <v/>
      </c>
      <c r="DH788" s="531" t="str">
        <f t="shared" si="92"/>
        <v/>
      </c>
      <c r="DI788" s="531" t="str">
        <f t="shared" si="93"/>
        <v/>
      </c>
      <c r="DJ788" s="531" t="str">
        <f t="shared" si="94"/>
        <v/>
      </c>
      <c r="DK788" s="531" t="str">
        <f t="shared" si="95"/>
        <v/>
      </c>
      <c r="DL788" s="531" t="str">
        <f t="shared" si="96"/>
        <v/>
      </c>
      <c r="DM788" s="531" t="str">
        <f t="shared" si="97"/>
        <v/>
      </c>
      <c r="DN788" s="531" t="str">
        <f t="shared" si="98"/>
        <v/>
      </c>
      <c r="DO788" s="531" t="str">
        <f t="shared" si="99"/>
        <v/>
      </c>
      <c r="DP788" s="531" t="str">
        <f t="shared" si="100"/>
        <v/>
      </c>
      <c r="DQ788" s="531" t="str">
        <f t="shared" si="101"/>
        <v/>
      </c>
      <c r="DR788" s="531" t="str">
        <f t="shared" si="102"/>
        <v/>
      </c>
      <c r="DS788" s="531" t="str">
        <f t="shared" si="103"/>
        <v/>
      </c>
      <c r="DT788" s="531" t="str">
        <f t="shared" si="104"/>
        <v/>
      </c>
      <c r="DU788" s="531" t="str">
        <f t="shared" si="105"/>
        <v/>
      </c>
      <c r="DV788" s="531" t="str">
        <f t="shared" si="106"/>
        <v/>
      </c>
      <c r="DW788" s="531" t="str">
        <f t="shared" si="107"/>
        <v/>
      </c>
      <c r="DX788" s="531" t="str">
        <f t="shared" si="108"/>
        <v/>
      </c>
      <c r="DY788" s="531" t="str">
        <f t="shared" si="109"/>
        <v/>
      </c>
      <c r="DZ788" s="531" t="str">
        <f t="shared" si="110"/>
        <v/>
      </c>
      <c r="EA788" s="531" t="str">
        <f t="shared" si="111"/>
        <v/>
      </c>
      <c r="EB788" s="531" t="str">
        <f t="shared" si="112"/>
        <v/>
      </c>
      <c r="EC788" s="531" t="str">
        <f t="shared" si="113"/>
        <v/>
      </c>
      <c r="ED788" s="531" t="str">
        <f t="shared" si="114"/>
        <v/>
      </c>
      <c r="EE788" s="531" t="str">
        <f t="shared" si="115"/>
        <v/>
      </c>
      <c r="EF788" s="531" t="str">
        <f t="shared" si="116"/>
        <v/>
      </c>
      <c r="EG788" s="531" t="str">
        <f t="shared" si="117"/>
        <v/>
      </c>
      <c r="EH788" s="531" t="str">
        <f t="shared" si="118"/>
        <v/>
      </c>
      <c r="EI788" s="531" t="str">
        <f t="shared" si="119"/>
        <v/>
      </c>
      <c r="EJ788" s="531" t="str">
        <f t="shared" si="120"/>
        <v/>
      </c>
      <c r="EK788" s="531" t="str">
        <f t="shared" si="121"/>
        <v/>
      </c>
      <c r="EL788" s="531" t="str">
        <f t="shared" si="122"/>
        <v/>
      </c>
      <c r="EM788" s="531" t="str">
        <f t="shared" si="123"/>
        <v/>
      </c>
      <c r="EN788" s="531" t="str">
        <f t="shared" si="124"/>
        <v/>
      </c>
      <c r="EO788" s="531" t="str">
        <f t="shared" si="125"/>
        <v/>
      </c>
      <c r="EP788" s="531" t="str">
        <f t="shared" si="126"/>
        <v/>
      </c>
      <c r="EQ788" s="531" t="str">
        <f t="shared" si="127"/>
        <v/>
      </c>
      <c r="ER788" s="531" t="str">
        <f t="shared" si="128"/>
        <v/>
      </c>
      <c r="ES788" s="531" t="str">
        <f t="shared" si="129"/>
        <v/>
      </c>
      <c r="ET788" s="531" t="str">
        <f t="shared" si="130"/>
        <v/>
      </c>
      <c r="EU788" s="531" t="str">
        <f t="shared" si="131"/>
        <v/>
      </c>
      <c r="EV788" s="531" t="str">
        <f t="shared" si="132"/>
        <v/>
      </c>
      <c r="EW788" s="1554" t="str">
        <f t="shared" si="133"/>
        <v/>
      </c>
      <c r="EX788" s="1554" t="str">
        <f t="shared" si="134"/>
        <v/>
      </c>
      <c r="EY788" s="1554" t="str">
        <f t="shared" si="135"/>
        <v/>
      </c>
      <c r="EZ788" s="1554" t="str">
        <f t="shared" si="136"/>
        <v/>
      </c>
      <c r="FA788" s="1554" t="str">
        <f t="shared" si="137"/>
        <v/>
      </c>
      <c r="FB788" s="1554" t="str">
        <f t="shared" si="138"/>
        <v/>
      </c>
      <c r="FC788" s="1554" t="str">
        <f t="shared" si="139"/>
        <v/>
      </c>
      <c r="FD788" s="1554" t="str">
        <f t="shared" si="140"/>
        <v/>
      </c>
      <c r="FE788" s="1554" t="str">
        <f t="shared" si="141"/>
        <v/>
      </c>
      <c r="FF788" s="1554" t="str">
        <f t="shared" si="142"/>
        <v/>
      </c>
      <c r="FG788" s="1554" t="str">
        <f t="shared" si="143"/>
        <v/>
      </c>
      <c r="FH788" s="1554" t="str">
        <f t="shared" si="144"/>
        <v/>
      </c>
      <c r="FI788" s="1554" t="str">
        <f t="shared" si="145"/>
        <v/>
      </c>
      <c r="FJ788" s="1554" t="str">
        <f t="shared" si="146"/>
        <v/>
      </c>
      <c r="FK788" s="1554" t="str">
        <f t="shared" si="147"/>
        <v/>
      </c>
      <c r="FL788" s="1554" t="str">
        <f t="shared" si="148"/>
        <v/>
      </c>
      <c r="FM788" s="1554" t="str">
        <f t="shared" si="149"/>
        <v/>
      </c>
      <c r="FN788" s="1554" t="str">
        <f t="shared" si="150"/>
        <v/>
      </c>
      <c r="FO788" s="1554" t="str">
        <f t="shared" si="151"/>
        <v/>
      </c>
      <c r="FP788" s="1554" t="str">
        <f t="shared" si="152"/>
        <v/>
      </c>
      <c r="FQ788" s="1554" t="str">
        <f t="shared" si="153"/>
        <v/>
      </c>
      <c r="FR788" s="1554" t="str">
        <f t="shared" si="154"/>
        <v/>
      </c>
      <c r="FS788" s="1554" t="str">
        <f t="shared" si="155"/>
        <v/>
      </c>
      <c r="FT788" s="1554" t="str">
        <f t="shared" si="156"/>
        <v/>
      </c>
      <c r="FU788" s="1554" t="str">
        <f t="shared" si="157"/>
        <v/>
      </c>
      <c r="FV788" s="1554" t="str">
        <f t="shared" si="158"/>
        <v/>
      </c>
      <c r="FW788" s="1554" t="str">
        <f t="shared" si="159"/>
        <v/>
      </c>
      <c r="FX788" s="1554" t="str">
        <f t="shared" si="160"/>
        <v/>
      </c>
      <c r="FY788" s="1554" t="str">
        <f t="shared" si="161"/>
        <v/>
      </c>
      <c r="FZ788" s="1554" t="str">
        <f t="shared" si="162"/>
        <v/>
      </c>
      <c r="GA788" s="1554" t="str">
        <f t="shared" si="163"/>
        <v/>
      </c>
      <c r="GB788" s="1554" t="str">
        <f t="shared" si="164"/>
        <v/>
      </c>
      <c r="GC788" s="1554" t="str">
        <f t="shared" si="165"/>
        <v/>
      </c>
      <c r="GD788" s="1554" t="str">
        <f t="shared" si="166"/>
        <v/>
      </c>
      <c r="GE788" s="1554" t="str">
        <f t="shared" si="167"/>
        <v/>
      </c>
      <c r="GF788" s="1554" t="str">
        <f t="shared" si="168"/>
        <v/>
      </c>
      <c r="GG788" s="1554" t="str">
        <f t="shared" si="169"/>
        <v/>
      </c>
      <c r="GH788" s="1554" t="str">
        <f t="shared" si="170"/>
        <v/>
      </c>
      <c r="GI788" s="1554" t="str">
        <f t="shared" si="171"/>
        <v/>
      </c>
      <c r="GJ788" s="1554" t="str">
        <f t="shared" si="172"/>
        <v/>
      </c>
      <c r="GK788" s="1554" t="str">
        <f t="shared" si="173"/>
        <v/>
      </c>
      <c r="GL788" s="1554" t="str">
        <f t="shared" si="174"/>
        <v/>
      </c>
      <c r="GM788" s="1554" t="str">
        <f t="shared" si="175"/>
        <v/>
      </c>
      <c r="GN788" s="1554" t="str">
        <f t="shared" si="176"/>
        <v/>
      </c>
      <c r="GO788" s="1554" t="str">
        <f t="shared" si="177"/>
        <v/>
      </c>
      <c r="GP788" s="1554" t="str">
        <f t="shared" si="178"/>
        <v/>
      </c>
      <c r="GQ788" s="1554" t="str">
        <f t="shared" si="179"/>
        <v/>
      </c>
      <c r="GR788" s="1554" t="str">
        <f t="shared" si="180"/>
        <v/>
      </c>
      <c r="GS788" s="1554" t="str">
        <f t="shared" si="181"/>
        <v/>
      </c>
      <c r="GT788" s="1554" t="str">
        <f t="shared" si="182"/>
        <v/>
      </c>
      <c r="GU788" s="1554" t="str">
        <f t="shared" si="183"/>
        <v/>
      </c>
      <c r="GV788" s="1554" t="str">
        <f t="shared" si="184"/>
        <v/>
      </c>
      <c r="GW788" s="1554" t="str">
        <f t="shared" si="185"/>
        <v/>
      </c>
      <c r="GX788" s="1554" t="str">
        <f t="shared" si="186"/>
        <v/>
      </c>
      <c r="GY788" s="1554" t="str">
        <f t="shared" si="187"/>
        <v/>
      </c>
      <c r="GZ788" s="1554" t="str">
        <f t="shared" si="188"/>
        <v/>
      </c>
      <c r="HA788" s="1554" t="str">
        <f t="shared" si="189"/>
        <v/>
      </c>
      <c r="HB788" s="1554" t="str">
        <f t="shared" si="190"/>
        <v/>
      </c>
      <c r="HC788" s="1554" t="str">
        <f t="shared" si="191"/>
        <v/>
      </c>
      <c r="HD788" s="1554" t="str">
        <f t="shared" si="192"/>
        <v/>
      </c>
      <c r="HE788" s="1554" t="str">
        <f t="shared" si="193"/>
        <v/>
      </c>
      <c r="HF788" s="1554" t="str">
        <f t="shared" si="194"/>
        <v/>
      </c>
      <c r="HG788" s="1554" t="str">
        <f t="shared" si="195"/>
        <v/>
      </c>
      <c r="HH788" s="1554" t="str">
        <f t="shared" si="196"/>
        <v/>
      </c>
      <c r="HI788" s="1554" t="str">
        <f t="shared" si="197"/>
        <v/>
      </c>
      <c r="HJ788" s="1554" t="str">
        <f t="shared" si="198"/>
        <v/>
      </c>
      <c r="HK788" s="1554" t="str">
        <f t="shared" si="199"/>
        <v/>
      </c>
      <c r="HL788" s="1554" t="str">
        <f t="shared" si="200"/>
        <v/>
      </c>
      <c r="HM788" s="1554" t="str">
        <f t="shared" si="201"/>
        <v/>
      </c>
      <c r="HN788" s="1554" t="str">
        <f t="shared" si="202"/>
        <v/>
      </c>
      <c r="HO788" s="1554" t="str">
        <f t="shared" si="203"/>
        <v/>
      </c>
      <c r="HP788" s="1554" t="str">
        <f t="shared" si="204"/>
        <v/>
      </c>
      <c r="HQ788" s="1554" t="str">
        <f t="shared" si="205"/>
        <v/>
      </c>
      <c r="HR788" s="1554" t="str">
        <f t="shared" si="206"/>
        <v/>
      </c>
      <c r="HS788" s="1554" t="str">
        <f t="shared" si="207"/>
        <v/>
      </c>
      <c r="HT788" s="1554" t="str">
        <f t="shared" si="208"/>
        <v/>
      </c>
      <c r="HU788" s="1554" t="str">
        <f t="shared" si="209"/>
        <v/>
      </c>
      <c r="HV788" s="1554" t="str">
        <f t="shared" si="210"/>
        <v/>
      </c>
      <c r="HW788" s="1554" t="str">
        <f t="shared" si="211"/>
        <v/>
      </c>
      <c r="HX788" s="1554" t="str">
        <f t="shared" si="212"/>
        <v/>
      </c>
      <c r="HY788" s="1554" t="str">
        <f t="shared" si="213"/>
        <v/>
      </c>
      <c r="HZ788" s="1554" t="str">
        <f t="shared" si="214"/>
        <v/>
      </c>
      <c r="IA788" s="1554" t="str">
        <f t="shared" si="215"/>
        <v/>
      </c>
      <c r="IB788" s="1554" t="str">
        <f t="shared" si="216"/>
        <v/>
      </c>
      <c r="IC788" s="1554" t="str">
        <f t="shared" si="217"/>
        <v/>
      </c>
      <c r="ID788" s="31" t="str">
        <f t="shared" si="218"/>
        <v/>
      </c>
      <c r="IE788" s="31" t="str">
        <f t="shared" si="219"/>
        <v/>
      </c>
      <c r="IF788" s="31" t="str">
        <f t="shared" si="220"/>
        <v/>
      </c>
      <c r="IG788" s="31" t="str">
        <f t="shared" si="221"/>
        <v/>
      </c>
      <c r="IH788" s="31" t="str">
        <f t="shared" si="222"/>
        <v/>
      </c>
      <c r="II788" s="531" t="str">
        <f t="shared" si="223"/>
        <v/>
      </c>
      <c r="IJ788" s="531" t="str">
        <f t="shared" si="224"/>
        <v/>
      </c>
      <c r="IK788" s="531" t="str">
        <f t="shared" si="225"/>
        <v/>
      </c>
      <c r="IL788" s="531" t="str">
        <f t="shared" si="226"/>
        <v/>
      </c>
      <c r="IM788" s="531" t="str">
        <f t="shared" si="227"/>
        <v/>
      </c>
      <c r="IN788" s="531" t="str">
        <f t="shared" si="228"/>
        <v/>
      </c>
      <c r="IO788" s="531" t="str">
        <f t="shared" si="229"/>
        <v/>
      </c>
      <c r="IP788" s="531" t="str">
        <f t="shared" si="230"/>
        <v/>
      </c>
      <c r="IQ788" s="531" t="str">
        <f t="shared" si="231"/>
        <v/>
      </c>
      <c r="IR788" s="531" t="str">
        <f t="shared" si="232"/>
        <v/>
      </c>
      <c r="IS788" s="531" t="str">
        <f t="shared" si="233"/>
        <v/>
      </c>
      <c r="IT788" s="531" t="str">
        <f t="shared" si="234"/>
        <v/>
      </c>
      <c r="IU788" s="531" t="str">
        <f t="shared" si="235"/>
        <v/>
      </c>
      <c r="IV788" s="531" t="str">
        <f t="shared" si="236"/>
        <v/>
      </c>
      <c r="IW788" s="531" t="str">
        <f t="shared" si="237"/>
        <v/>
      </c>
      <c r="IX788" s="531" t="str">
        <f t="shared" si="238"/>
        <v/>
      </c>
      <c r="IY788" s="531" t="str">
        <f t="shared" si="239"/>
        <v/>
      </c>
      <c r="IZ788" s="531" t="str">
        <f t="shared" si="240"/>
        <v/>
      </c>
      <c r="JA788" s="531" t="str">
        <f t="shared" si="241"/>
        <v/>
      </c>
      <c r="JB788" s="531" t="str">
        <f t="shared" si="242"/>
        <v/>
      </c>
      <c r="JC788" s="615">
        <f t="shared" si="243"/>
        <v>0</v>
      </c>
      <c r="JD788" s="615">
        <f t="shared" si="244"/>
        <v>0</v>
      </c>
      <c r="JE788" s="615">
        <f t="shared" si="245"/>
        <v>0</v>
      </c>
      <c r="JF788" s="615">
        <f t="shared" si="246"/>
        <v>0</v>
      </c>
      <c r="JG788" s="615">
        <f t="shared" si="247"/>
        <v>0</v>
      </c>
      <c r="JH788" s="615">
        <f t="shared" si="248"/>
        <v>0</v>
      </c>
      <c r="JI788" s="615">
        <f t="shared" si="249"/>
        <v>0</v>
      </c>
      <c r="JJ788" s="615">
        <f t="shared" si="250"/>
        <v>0</v>
      </c>
      <c r="JK788" s="615">
        <f t="shared" si="251"/>
        <v>0</v>
      </c>
      <c r="JL788" s="615">
        <f t="shared" si="252"/>
        <v>0</v>
      </c>
      <c r="JM788" s="615">
        <f t="shared" si="253"/>
        <v>0</v>
      </c>
      <c r="JN788" s="615">
        <f t="shared" si="254"/>
        <v>0</v>
      </c>
      <c r="JO788" s="615">
        <f t="shared" si="255"/>
        <v>0</v>
      </c>
      <c r="JP788" s="615">
        <f t="shared" si="256"/>
        <v>0</v>
      </c>
      <c r="JQ788" s="615">
        <f t="shared" si="257"/>
        <v>0</v>
      </c>
    </row>
    <row r="789" spans="1:278" ht="12" customHeight="1">
      <c r="A789" s="1190" t="str">
        <f t="shared" si="0"/>
        <v/>
      </c>
      <c r="B789" s="1545" t="str">
        <f>'Part VI-Revenues &amp; Expenses'!B46</f>
        <v>&lt;&lt;Select&gt;&gt;</v>
      </c>
      <c r="C789" s="1546">
        <f>'Part VI-Revenues &amp; Expenses'!C46</f>
        <v>0</v>
      </c>
      <c r="D789" s="1547">
        <f>'Part VI-Revenues &amp; Expenses'!D46</f>
        <v>0</v>
      </c>
      <c r="E789" s="1548">
        <f>'Part VI-Revenues &amp; Expenses'!E46</f>
        <v>0</v>
      </c>
      <c r="F789" s="1548">
        <f>'Part VI-Revenues &amp; Expenses'!F46</f>
        <v>0</v>
      </c>
      <c r="G789" s="1548">
        <f>'Part VI-Revenues &amp; Expenses'!G46</f>
        <v>0</v>
      </c>
      <c r="H789" s="1548">
        <f>'Part VI-Revenues &amp; Expenses'!H46</f>
        <v>0</v>
      </c>
      <c r="I789" s="1548">
        <f>'Part VI-Revenues &amp; Expenses'!I46</f>
        <v>0</v>
      </c>
      <c r="J789" s="1549">
        <f>'Part VI-Revenues &amp; Expenses'!J46</f>
        <v>0</v>
      </c>
      <c r="K789" s="1550">
        <f t="shared" si="1"/>
        <v>0</v>
      </c>
      <c r="L789" s="1550">
        <f t="shared" si="2"/>
        <v>0</v>
      </c>
      <c r="M789" s="1551">
        <f>'Part VI-Revenues &amp; Expenses'!M46</f>
        <v>0</v>
      </c>
      <c r="N789" s="1551">
        <f>'Part VI-Revenues &amp; Expenses'!N46</f>
        <v>0</v>
      </c>
      <c r="O789" s="1551">
        <f>'Part VI-Revenues &amp; Expenses'!O46</f>
        <v>0</v>
      </c>
      <c r="P789" s="1406">
        <f>'Part VI-Revenues &amp; Expenses'!P46</f>
        <v>0</v>
      </c>
      <c r="Q789" s="1552" t="str">
        <f>'Part VI-Revenues &amp; Expenses'!Q46</f>
        <v/>
      </c>
      <c r="R789" s="1553" t="str">
        <f>'Part VI-Revenues &amp; Expenses'!R46</f>
        <v/>
      </c>
      <c r="S789" s="1552">
        <f>'Part VI-Revenues &amp; Expenses'!S46</f>
        <v>0</v>
      </c>
      <c r="T789" s="1553">
        <f>'Part VI-Revenues &amp; Expenses'!T46</f>
        <v>0</v>
      </c>
      <c r="U789" s="1477"/>
      <c r="V789" s="1477"/>
      <c r="W789" s="531" t="str">
        <f t="shared" si="3"/>
        <v/>
      </c>
      <c r="X789" s="531" t="str">
        <f t="shared" si="4"/>
        <v/>
      </c>
      <c r="Y789" s="531" t="str">
        <f t="shared" si="5"/>
        <v/>
      </c>
      <c r="Z789" s="531" t="str">
        <f t="shared" si="6"/>
        <v/>
      </c>
      <c r="AA789" s="531" t="str">
        <f t="shared" si="7"/>
        <v/>
      </c>
      <c r="AB789" s="531" t="str">
        <f t="shared" si="8"/>
        <v/>
      </c>
      <c r="AC789" s="531" t="str">
        <f t="shared" si="9"/>
        <v/>
      </c>
      <c r="AD789" s="531" t="str">
        <f t="shared" si="10"/>
        <v/>
      </c>
      <c r="AE789" s="531" t="str">
        <f t="shared" si="11"/>
        <v/>
      </c>
      <c r="AF789" s="531" t="str">
        <f t="shared" si="12"/>
        <v/>
      </c>
      <c r="AG789" s="531" t="str">
        <f t="shared" si="13"/>
        <v/>
      </c>
      <c r="AH789" s="531" t="str">
        <f t="shared" si="14"/>
        <v/>
      </c>
      <c r="AI789" s="531" t="str">
        <f t="shared" si="15"/>
        <v/>
      </c>
      <c r="AJ789" s="531" t="str">
        <f t="shared" si="16"/>
        <v/>
      </c>
      <c r="AK789" s="531" t="str">
        <f t="shared" si="17"/>
        <v/>
      </c>
      <c r="AL789" s="531" t="str">
        <f t="shared" si="18"/>
        <v/>
      </c>
      <c r="AM789" s="531" t="str">
        <f t="shared" si="19"/>
        <v/>
      </c>
      <c r="AN789" s="531" t="str">
        <f t="shared" si="20"/>
        <v/>
      </c>
      <c r="AO789" s="531" t="str">
        <f t="shared" si="21"/>
        <v/>
      </c>
      <c r="AP789" s="531" t="str">
        <f t="shared" si="22"/>
        <v/>
      </c>
      <c r="AQ789" s="531" t="str">
        <f t="shared" si="23"/>
        <v/>
      </c>
      <c r="AR789" s="531" t="str">
        <f t="shared" si="24"/>
        <v/>
      </c>
      <c r="AS789" s="531" t="str">
        <f t="shared" si="25"/>
        <v/>
      </c>
      <c r="AT789" s="531" t="str">
        <f t="shared" si="26"/>
        <v/>
      </c>
      <c r="AU789" s="531" t="str">
        <f t="shared" si="27"/>
        <v/>
      </c>
      <c r="AV789" s="531" t="str">
        <f t="shared" si="28"/>
        <v/>
      </c>
      <c r="AW789" s="531" t="str">
        <f t="shared" si="29"/>
        <v/>
      </c>
      <c r="AX789" s="531" t="str">
        <f t="shared" si="30"/>
        <v/>
      </c>
      <c r="AY789" s="531" t="str">
        <f t="shared" si="31"/>
        <v/>
      </c>
      <c r="AZ789" s="531" t="str">
        <f t="shared" si="32"/>
        <v/>
      </c>
      <c r="BA789" s="531" t="str">
        <f t="shared" si="33"/>
        <v/>
      </c>
      <c r="BB789" s="531" t="str">
        <f t="shared" si="34"/>
        <v/>
      </c>
      <c r="BC789" s="531" t="str">
        <f t="shared" si="35"/>
        <v/>
      </c>
      <c r="BD789" s="531" t="str">
        <f t="shared" si="36"/>
        <v/>
      </c>
      <c r="BE789" s="531" t="str">
        <f t="shared" si="37"/>
        <v/>
      </c>
      <c r="BF789" s="531" t="str">
        <f t="shared" si="38"/>
        <v/>
      </c>
      <c r="BG789" s="531" t="str">
        <f t="shared" si="39"/>
        <v/>
      </c>
      <c r="BH789" s="531" t="str">
        <f t="shared" si="40"/>
        <v/>
      </c>
      <c r="BI789" s="531" t="str">
        <f t="shared" si="41"/>
        <v/>
      </c>
      <c r="BJ789" s="531" t="str">
        <f t="shared" si="42"/>
        <v/>
      </c>
      <c r="BK789" s="531" t="str">
        <f t="shared" si="43"/>
        <v/>
      </c>
      <c r="BL789" s="531" t="str">
        <f t="shared" si="44"/>
        <v/>
      </c>
      <c r="BM789" s="531" t="str">
        <f t="shared" si="45"/>
        <v/>
      </c>
      <c r="BN789" s="531" t="str">
        <f t="shared" si="46"/>
        <v/>
      </c>
      <c r="BO789" s="531" t="str">
        <f t="shared" si="47"/>
        <v/>
      </c>
      <c r="BP789" s="531" t="str">
        <f t="shared" si="48"/>
        <v/>
      </c>
      <c r="BQ789" s="531" t="str">
        <f t="shared" si="49"/>
        <v/>
      </c>
      <c r="BR789" s="531" t="str">
        <f t="shared" si="50"/>
        <v/>
      </c>
      <c r="BS789" s="531" t="str">
        <f t="shared" si="51"/>
        <v/>
      </c>
      <c r="BT789" s="531" t="str">
        <f t="shared" si="52"/>
        <v/>
      </c>
      <c r="BU789" s="531" t="str">
        <f t="shared" si="53"/>
        <v/>
      </c>
      <c r="BV789" s="531" t="str">
        <f t="shared" si="54"/>
        <v/>
      </c>
      <c r="BW789" s="531" t="str">
        <f t="shared" si="55"/>
        <v/>
      </c>
      <c r="BX789" s="531" t="str">
        <f t="shared" si="56"/>
        <v/>
      </c>
      <c r="BY789" s="531" t="str">
        <f t="shared" si="57"/>
        <v/>
      </c>
      <c r="BZ789" s="531" t="str">
        <f t="shared" si="58"/>
        <v/>
      </c>
      <c r="CA789" s="531" t="str">
        <f t="shared" si="59"/>
        <v/>
      </c>
      <c r="CB789" s="531" t="str">
        <f t="shared" si="60"/>
        <v/>
      </c>
      <c r="CC789" s="531" t="str">
        <f t="shared" si="61"/>
        <v/>
      </c>
      <c r="CD789" s="531" t="str">
        <f t="shared" si="62"/>
        <v/>
      </c>
      <c r="CE789" s="531" t="str">
        <f t="shared" si="63"/>
        <v/>
      </c>
      <c r="CF789" s="531" t="str">
        <f t="shared" si="64"/>
        <v/>
      </c>
      <c r="CG789" s="531" t="str">
        <f t="shared" si="65"/>
        <v/>
      </c>
      <c r="CH789" s="531" t="str">
        <f t="shared" si="66"/>
        <v/>
      </c>
      <c r="CI789" s="531" t="str">
        <f t="shared" si="67"/>
        <v/>
      </c>
      <c r="CJ789" s="531" t="str">
        <f t="shared" si="68"/>
        <v/>
      </c>
      <c r="CK789" s="531" t="str">
        <f t="shared" si="69"/>
        <v/>
      </c>
      <c r="CL789" s="531" t="str">
        <f t="shared" si="70"/>
        <v/>
      </c>
      <c r="CM789" s="531" t="str">
        <f t="shared" si="71"/>
        <v/>
      </c>
      <c r="CN789" s="531" t="str">
        <f t="shared" si="72"/>
        <v/>
      </c>
      <c r="CO789" s="531" t="str">
        <f t="shared" si="73"/>
        <v/>
      </c>
      <c r="CP789" s="531" t="str">
        <f t="shared" si="74"/>
        <v/>
      </c>
      <c r="CQ789" s="531" t="str">
        <f t="shared" si="75"/>
        <v/>
      </c>
      <c r="CR789" s="531" t="str">
        <f t="shared" si="76"/>
        <v/>
      </c>
      <c r="CS789" s="531" t="str">
        <f t="shared" si="77"/>
        <v/>
      </c>
      <c r="CT789" s="531" t="str">
        <f t="shared" si="78"/>
        <v/>
      </c>
      <c r="CU789" s="531" t="str">
        <f t="shared" si="79"/>
        <v/>
      </c>
      <c r="CV789" s="531" t="str">
        <f t="shared" si="80"/>
        <v/>
      </c>
      <c r="CW789" s="531" t="str">
        <f t="shared" si="81"/>
        <v/>
      </c>
      <c r="CX789" s="531" t="str">
        <f t="shared" si="82"/>
        <v/>
      </c>
      <c r="CY789" s="531" t="str">
        <f t="shared" si="83"/>
        <v/>
      </c>
      <c r="CZ789" s="531" t="str">
        <f t="shared" si="84"/>
        <v/>
      </c>
      <c r="DA789" s="531" t="str">
        <f t="shared" si="85"/>
        <v/>
      </c>
      <c r="DB789" s="531" t="str">
        <f t="shared" si="86"/>
        <v/>
      </c>
      <c r="DC789" s="531" t="str">
        <f t="shared" si="87"/>
        <v/>
      </c>
      <c r="DD789" s="531" t="str">
        <f t="shared" si="88"/>
        <v/>
      </c>
      <c r="DE789" s="531" t="str">
        <f t="shared" si="89"/>
        <v/>
      </c>
      <c r="DF789" s="531" t="str">
        <f t="shared" si="90"/>
        <v/>
      </c>
      <c r="DG789" s="531" t="str">
        <f t="shared" si="91"/>
        <v/>
      </c>
      <c r="DH789" s="531" t="str">
        <f t="shared" si="92"/>
        <v/>
      </c>
      <c r="DI789" s="531" t="str">
        <f t="shared" si="93"/>
        <v/>
      </c>
      <c r="DJ789" s="531" t="str">
        <f t="shared" si="94"/>
        <v/>
      </c>
      <c r="DK789" s="531" t="str">
        <f t="shared" si="95"/>
        <v/>
      </c>
      <c r="DL789" s="531" t="str">
        <f t="shared" si="96"/>
        <v/>
      </c>
      <c r="DM789" s="531" t="str">
        <f t="shared" si="97"/>
        <v/>
      </c>
      <c r="DN789" s="531" t="str">
        <f t="shared" si="98"/>
        <v/>
      </c>
      <c r="DO789" s="531" t="str">
        <f t="shared" si="99"/>
        <v/>
      </c>
      <c r="DP789" s="531" t="str">
        <f t="shared" si="100"/>
        <v/>
      </c>
      <c r="DQ789" s="531" t="str">
        <f t="shared" si="101"/>
        <v/>
      </c>
      <c r="DR789" s="531" t="str">
        <f t="shared" si="102"/>
        <v/>
      </c>
      <c r="DS789" s="531" t="str">
        <f t="shared" si="103"/>
        <v/>
      </c>
      <c r="DT789" s="531" t="str">
        <f t="shared" si="104"/>
        <v/>
      </c>
      <c r="DU789" s="531" t="str">
        <f t="shared" si="105"/>
        <v/>
      </c>
      <c r="DV789" s="531" t="str">
        <f t="shared" si="106"/>
        <v/>
      </c>
      <c r="DW789" s="531" t="str">
        <f t="shared" si="107"/>
        <v/>
      </c>
      <c r="DX789" s="531" t="str">
        <f t="shared" si="108"/>
        <v/>
      </c>
      <c r="DY789" s="531" t="str">
        <f t="shared" si="109"/>
        <v/>
      </c>
      <c r="DZ789" s="531" t="str">
        <f t="shared" si="110"/>
        <v/>
      </c>
      <c r="EA789" s="531" t="str">
        <f t="shared" si="111"/>
        <v/>
      </c>
      <c r="EB789" s="531" t="str">
        <f t="shared" si="112"/>
        <v/>
      </c>
      <c r="EC789" s="531" t="str">
        <f t="shared" si="113"/>
        <v/>
      </c>
      <c r="ED789" s="531" t="str">
        <f t="shared" si="114"/>
        <v/>
      </c>
      <c r="EE789" s="531" t="str">
        <f t="shared" si="115"/>
        <v/>
      </c>
      <c r="EF789" s="531" t="str">
        <f t="shared" si="116"/>
        <v/>
      </c>
      <c r="EG789" s="531" t="str">
        <f t="shared" si="117"/>
        <v/>
      </c>
      <c r="EH789" s="531" t="str">
        <f t="shared" si="118"/>
        <v/>
      </c>
      <c r="EI789" s="531" t="str">
        <f t="shared" si="119"/>
        <v/>
      </c>
      <c r="EJ789" s="531" t="str">
        <f t="shared" si="120"/>
        <v/>
      </c>
      <c r="EK789" s="531" t="str">
        <f t="shared" si="121"/>
        <v/>
      </c>
      <c r="EL789" s="531" t="str">
        <f t="shared" si="122"/>
        <v/>
      </c>
      <c r="EM789" s="531" t="str">
        <f t="shared" si="123"/>
        <v/>
      </c>
      <c r="EN789" s="531" t="str">
        <f t="shared" si="124"/>
        <v/>
      </c>
      <c r="EO789" s="531" t="str">
        <f t="shared" si="125"/>
        <v/>
      </c>
      <c r="EP789" s="531" t="str">
        <f t="shared" si="126"/>
        <v/>
      </c>
      <c r="EQ789" s="531" t="str">
        <f t="shared" si="127"/>
        <v/>
      </c>
      <c r="ER789" s="531" t="str">
        <f t="shared" si="128"/>
        <v/>
      </c>
      <c r="ES789" s="531" t="str">
        <f t="shared" si="129"/>
        <v/>
      </c>
      <c r="ET789" s="531" t="str">
        <f t="shared" si="130"/>
        <v/>
      </c>
      <c r="EU789" s="531" t="str">
        <f t="shared" si="131"/>
        <v/>
      </c>
      <c r="EV789" s="531" t="str">
        <f t="shared" si="132"/>
        <v/>
      </c>
      <c r="EW789" s="1554" t="str">
        <f t="shared" si="133"/>
        <v/>
      </c>
      <c r="EX789" s="1554" t="str">
        <f t="shared" si="134"/>
        <v/>
      </c>
      <c r="EY789" s="1554" t="str">
        <f t="shared" si="135"/>
        <v/>
      </c>
      <c r="EZ789" s="1554" t="str">
        <f t="shared" si="136"/>
        <v/>
      </c>
      <c r="FA789" s="1554" t="str">
        <f t="shared" si="137"/>
        <v/>
      </c>
      <c r="FB789" s="1554" t="str">
        <f t="shared" si="138"/>
        <v/>
      </c>
      <c r="FC789" s="1554" t="str">
        <f t="shared" si="139"/>
        <v/>
      </c>
      <c r="FD789" s="1554" t="str">
        <f t="shared" si="140"/>
        <v/>
      </c>
      <c r="FE789" s="1554" t="str">
        <f t="shared" si="141"/>
        <v/>
      </c>
      <c r="FF789" s="1554" t="str">
        <f t="shared" si="142"/>
        <v/>
      </c>
      <c r="FG789" s="1554" t="str">
        <f t="shared" si="143"/>
        <v/>
      </c>
      <c r="FH789" s="1554" t="str">
        <f t="shared" si="144"/>
        <v/>
      </c>
      <c r="FI789" s="1554" t="str">
        <f t="shared" si="145"/>
        <v/>
      </c>
      <c r="FJ789" s="1554" t="str">
        <f t="shared" si="146"/>
        <v/>
      </c>
      <c r="FK789" s="1554" t="str">
        <f t="shared" si="147"/>
        <v/>
      </c>
      <c r="FL789" s="1554" t="str">
        <f t="shared" si="148"/>
        <v/>
      </c>
      <c r="FM789" s="1554" t="str">
        <f t="shared" si="149"/>
        <v/>
      </c>
      <c r="FN789" s="1554" t="str">
        <f t="shared" si="150"/>
        <v/>
      </c>
      <c r="FO789" s="1554" t="str">
        <f t="shared" si="151"/>
        <v/>
      </c>
      <c r="FP789" s="1554" t="str">
        <f t="shared" si="152"/>
        <v/>
      </c>
      <c r="FQ789" s="1554" t="str">
        <f t="shared" si="153"/>
        <v/>
      </c>
      <c r="FR789" s="1554" t="str">
        <f t="shared" si="154"/>
        <v/>
      </c>
      <c r="FS789" s="1554" t="str">
        <f t="shared" si="155"/>
        <v/>
      </c>
      <c r="FT789" s="1554" t="str">
        <f t="shared" si="156"/>
        <v/>
      </c>
      <c r="FU789" s="1554" t="str">
        <f t="shared" si="157"/>
        <v/>
      </c>
      <c r="FV789" s="1554" t="str">
        <f t="shared" si="158"/>
        <v/>
      </c>
      <c r="FW789" s="1554" t="str">
        <f t="shared" si="159"/>
        <v/>
      </c>
      <c r="FX789" s="1554" t="str">
        <f t="shared" si="160"/>
        <v/>
      </c>
      <c r="FY789" s="1554" t="str">
        <f t="shared" si="161"/>
        <v/>
      </c>
      <c r="FZ789" s="1554" t="str">
        <f t="shared" si="162"/>
        <v/>
      </c>
      <c r="GA789" s="1554" t="str">
        <f t="shared" si="163"/>
        <v/>
      </c>
      <c r="GB789" s="1554" t="str">
        <f t="shared" si="164"/>
        <v/>
      </c>
      <c r="GC789" s="1554" t="str">
        <f t="shared" si="165"/>
        <v/>
      </c>
      <c r="GD789" s="1554" t="str">
        <f t="shared" si="166"/>
        <v/>
      </c>
      <c r="GE789" s="1554" t="str">
        <f t="shared" si="167"/>
        <v/>
      </c>
      <c r="GF789" s="1554" t="str">
        <f t="shared" si="168"/>
        <v/>
      </c>
      <c r="GG789" s="1554" t="str">
        <f t="shared" si="169"/>
        <v/>
      </c>
      <c r="GH789" s="1554" t="str">
        <f t="shared" si="170"/>
        <v/>
      </c>
      <c r="GI789" s="1554" t="str">
        <f t="shared" si="171"/>
        <v/>
      </c>
      <c r="GJ789" s="1554" t="str">
        <f t="shared" si="172"/>
        <v/>
      </c>
      <c r="GK789" s="1554" t="str">
        <f t="shared" si="173"/>
        <v/>
      </c>
      <c r="GL789" s="1554" t="str">
        <f t="shared" si="174"/>
        <v/>
      </c>
      <c r="GM789" s="1554" t="str">
        <f t="shared" si="175"/>
        <v/>
      </c>
      <c r="GN789" s="1554" t="str">
        <f t="shared" si="176"/>
        <v/>
      </c>
      <c r="GO789" s="1554" t="str">
        <f t="shared" si="177"/>
        <v/>
      </c>
      <c r="GP789" s="1554" t="str">
        <f t="shared" si="178"/>
        <v/>
      </c>
      <c r="GQ789" s="1554" t="str">
        <f t="shared" si="179"/>
        <v/>
      </c>
      <c r="GR789" s="1554" t="str">
        <f t="shared" si="180"/>
        <v/>
      </c>
      <c r="GS789" s="1554" t="str">
        <f t="shared" si="181"/>
        <v/>
      </c>
      <c r="GT789" s="1554" t="str">
        <f t="shared" si="182"/>
        <v/>
      </c>
      <c r="GU789" s="1554" t="str">
        <f t="shared" si="183"/>
        <v/>
      </c>
      <c r="GV789" s="1554" t="str">
        <f t="shared" si="184"/>
        <v/>
      </c>
      <c r="GW789" s="1554" t="str">
        <f t="shared" si="185"/>
        <v/>
      </c>
      <c r="GX789" s="1554" t="str">
        <f t="shared" si="186"/>
        <v/>
      </c>
      <c r="GY789" s="1554" t="str">
        <f t="shared" si="187"/>
        <v/>
      </c>
      <c r="GZ789" s="1554" t="str">
        <f t="shared" si="188"/>
        <v/>
      </c>
      <c r="HA789" s="1554" t="str">
        <f t="shared" si="189"/>
        <v/>
      </c>
      <c r="HB789" s="1554" t="str">
        <f t="shared" si="190"/>
        <v/>
      </c>
      <c r="HC789" s="1554" t="str">
        <f t="shared" si="191"/>
        <v/>
      </c>
      <c r="HD789" s="1554" t="str">
        <f t="shared" si="192"/>
        <v/>
      </c>
      <c r="HE789" s="1554" t="str">
        <f t="shared" si="193"/>
        <v/>
      </c>
      <c r="HF789" s="1554" t="str">
        <f t="shared" si="194"/>
        <v/>
      </c>
      <c r="HG789" s="1554" t="str">
        <f t="shared" si="195"/>
        <v/>
      </c>
      <c r="HH789" s="1554" t="str">
        <f t="shared" si="196"/>
        <v/>
      </c>
      <c r="HI789" s="1554" t="str">
        <f t="shared" si="197"/>
        <v/>
      </c>
      <c r="HJ789" s="1554" t="str">
        <f t="shared" si="198"/>
        <v/>
      </c>
      <c r="HK789" s="1554" t="str">
        <f t="shared" si="199"/>
        <v/>
      </c>
      <c r="HL789" s="1554" t="str">
        <f t="shared" si="200"/>
        <v/>
      </c>
      <c r="HM789" s="1554" t="str">
        <f t="shared" si="201"/>
        <v/>
      </c>
      <c r="HN789" s="1554" t="str">
        <f t="shared" si="202"/>
        <v/>
      </c>
      <c r="HO789" s="1554" t="str">
        <f t="shared" si="203"/>
        <v/>
      </c>
      <c r="HP789" s="1554" t="str">
        <f t="shared" si="204"/>
        <v/>
      </c>
      <c r="HQ789" s="1554" t="str">
        <f t="shared" si="205"/>
        <v/>
      </c>
      <c r="HR789" s="1554" t="str">
        <f t="shared" si="206"/>
        <v/>
      </c>
      <c r="HS789" s="1554" t="str">
        <f t="shared" si="207"/>
        <v/>
      </c>
      <c r="HT789" s="1554" t="str">
        <f t="shared" si="208"/>
        <v/>
      </c>
      <c r="HU789" s="1554" t="str">
        <f t="shared" si="209"/>
        <v/>
      </c>
      <c r="HV789" s="1554" t="str">
        <f t="shared" si="210"/>
        <v/>
      </c>
      <c r="HW789" s="1554" t="str">
        <f t="shared" si="211"/>
        <v/>
      </c>
      <c r="HX789" s="1554" t="str">
        <f t="shared" si="212"/>
        <v/>
      </c>
      <c r="HY789" s="1554" t="str">
        <f t="shared" si="213"/>
        <v/>
      </c>
      <c r="HZ789" s="1554" t="str">
        <f t="shared" si="214"/>
        <v/>
      </c>
      <c r="IA789" s="1554" t="str">
        <f t="shared" si="215"/>
        <v/>
      </c>
      <c r="IB789" s="1554" t="str">
        <f t="shared" si="216"/>
        <v/>
      </c>
      <c r="IC789" s="1554" t="str">
        <f t="shared" si="217"/>
        <v/>
      </c>
      <c r="ID789" s="31" t="str">
        <f t="shared" si="218"/>
        <v/>
      </c>
      <c r="IE789" s="31" t="str">
        <f t="shared" si="219"/>
        <v/>
      </c>
      <c r="IF789" s="31" t="str">
        <f t="shared" si="220"/>
        <v/>
      </c>
      <c r="IG789" s="31" t="str">
        <f t="shared" si="221"/>
        <v/>
      </c>
      <c r="IH789" s="31" t="str">
        <f t="shared" si="222"/>
        <v/>
      </c>
      <c r="II789" s="531" t="str">
        <f t="shared" si="223"/>
        <v/>
      </c>
      <c r="IJ789" s="531" t="str">
        <f t="shared" si="224"/>
        <v/>
      </c>
      <c r="IK789" s="531" t="str">
        <f t="shared" si="225"/>
        <v/>
      </c>
      <c r="IL789" s="531" t="str">
        <f t="shared" si="226"/>
        <v/>
      </c>
      <c r="IM789" s="531" t="str">
        <f t="shared" si="227"/>
        <v/>
      </c>
      <c r="IN789" s="531" t="str">
        <f t="shared" si="228"/>
        <v/>
      </c>
      <c r="IO789" s="531" t="str">
        <f t="shared" si="229"/>
        <v/>
      </c>
      <c r="IP789" s="531" t="str">
        <f t="shared" si="230"/>
        <v/>
      </c>
      <c r="IQ789" s="531" t="str">
        <f t="shared" si="231"/>
        <v/>
      </c>
      <c r="IR789" s="531" t="str">
        <f t="shared" si="232"/>
        <v/>
      </c>
      <c r="IS789" s="531" t="str">
        <f t="shared" si="233"/>
        <v/>
      </c>
      <c r="IT789" s="531" t="str">
        <f t="shared" si="234"/>
        <v/>
      </c>
      <c r="IU789" s="531" t="str">
        <f t="shared" si="235"/>
        <v/>
      </c>
      <c r="IV789" s="531" t="str">
        <f t="shared" si="236"/>
        <v/>
      </c>
      <c r="IW789" s="531" t="str">
        <f t="shared" si="237"/>
        <v/>
      </c>
      <c r="IX789" s="531" t="str">
        <f t="shared" si="238"/>
        <v/>
      </c>
      <c r="IY789" s="531" t="str">
        <f t="shared" si="239"/>
        <v/>
      </c>
      <c r="IZ789" s="531" t="str">
        <f t="shared" si="240"/>
        <v/>
      </c>
      <c r="JA789" s="531" t="str">
        <f t="shared" si="241"/>
        <v/>
      </c>
      <c r="JB789" s="531" t="str">
        <f t="shared" si="242"/>
        <v/>
      </c>
      <c r="JC789" s="615">
        <f t="shared" si="243"/>
        <v>0</v>
      </c>
      <c r="JD789" s="615">
        <f t="shared" si="244"/>
        <v>0</v>
      </c>
      <c r="JE789" s="615">
        <f t="shared" si="245"/>
        <v>0</v>
      </c>
      <c r="JF789" s="615">
        <f t="shared" si="246"/>
        <v>0</v>
      </c>
      <c r="JG789" s="615">
        <f t="shared" si="247"/>
        <v>0</v>
      </c>
      <c r="JH789" s="615">
        <f t="shared" si="248"/>
        <v>0</v>
      </c>
      <c r="JI789" s="615">
        <f t="shared" si="249"/>
        <v>0</v>
      </c>
      <c r="JJ789" s="615">
        <f t="shared" si="250"/>
        <v>0</v>
      </c>
      <c r="JK789" s="615">
        <f t="shared" si="251"/>
        <v>0</v>
      </c>
      <c r="JL789" s="615">
        <f t="shared" si="252"/>
        <v>0</v>
      </c>
      <c r="JM789" s="615">
        <f t="shared" si="253"/>
        <v>0</v>
      </c>
      <c r="JN789" s="615">
        <f t="shared" si="254"/>
        <v>0</v>
      </c>
      <c r="JO789" s="615">
        <f t="shared" si="255"/>
        <v>0</v>
      </c>
      <c r="JP789" s="615">
        <f t="shared" si="256"/>
        <v>0</v>
      </c>
      <c r="JQ789" s="615">
        <f t="shared" si="257"/>
        <v>0</v>
      </c>
    </row>
    <row r="790" spans="1:278" ht="12" customHeight="1">
      <c r="A790" s="1190" t="str">
        <f t="shared" si="0"/>
        <v/>
      </c>
      <c r="B790" s="1545" t="str">
        <f>'Part VI-Revenues &amp; Expenses'!B47</f>
        <v>&lt;&lt;Select&gt;&gt;</v>
      </c>
      <c r="C790" s="1546">
        <f>'Part VI-Revenues &amp; Expenses'!C47</f>
        <v>0</v>
      </c>
      <c r="D790" s="1547">
        <f>'Part VI-Revenues &amp; Expenses'!D47</f>
        <v>0</v>
      </c>
      <c r="E790" s="1548">
        <f>'Part VI-Revenues &amp; Expenses'!E47</f>
        <v>0</v>
      </c>
      <c r="F790" s="1548">
        <f>'Part VI-Revenues &amp; Expenses'!F47</f>
        <v>0</v>
      </c>
      <c r="G790" s="1548">
        <f>'Part VI-Revenues &amp; Expenses'!G47</f>
        <v>0</v>
      </c>
      <c r="H790" s="1548">
        <f>'Part VI-Revenues &amp; Expenses'!H47</f>
        <v>0</v>
      </c>
      <c r="I790" s="1548">
        <f>'Part VI-Revenues &amp; Expenses'!I47</f>
        <v>0</v>
      </c>
      <c r="J790" s="1549">
        <f>'Part VI-Revenues &amp; Expenses'!J47</f>
        <v>0</v>
      </c>
      <c r="K790" s="1550">
        <f t="shared" si="1"/>
        <v>0</v>
      </c>
      <c r="L790" s="1550">
        <f t="shared" si="2"/>
        <v>0</v>
      </c>
      <c r="M790" s="1551">
        <f>'Part VI-Revenues &amp; Expenses'!M47</f>
        <v>0</v>
      </c>
      <c r="N790" s="1551">
        <f>'Part VI-Revenues &amp; Expenses'!N47</f>
        <v>0</v>
      </c>
      <c r="O790" s="1551">
        <f>'Part VI-Revenues &amp; Expenses'!O47</f>
        <v>0</v>
      </c>
      <c r="P790" s="1406">
        <f>'Part VI-Revenues &amp; Expenses'!P47</f>
        <v>0</v>
      </c>
      <c r="Q790" s="1552" t="str">
        <f>'Part VI-Revenues &amp; Expenses'!Q47</f>
        <v/>
      </c>
      <c r="R790" s="1553" t="str">
        <f>'Part VI-Revenues &amp; Expenses'!R47</f>
        <v/>
      </c>
      <c r="S790" s="1552">
        <f>'Part VI-Revenues &amp; Expenses'!S47</f>
        <v>0</v>
      </c>
      <c r="T790" s="1553">
        <f>'Part VI-Revenues &amp; Expenses'!T47</f>
        <v>0</v>
      </c>
      <c r="U790" s="1477"/>
      <c r="V790" s="1477"/>
      <c r="W790" s="531" t="str">
        <f t="shared" si="3"/>
        <v/>
      </c>
      <c r="X790" s="531" t="str">
        <f t="shared" si="4"/>
        <v/>
      </c>
      <c r="Y790" s="531" t="str">
        <f t="shared" si="5"/>
        <v/>
      </c>
      <c r="Z790" s="531" t="str">
        <f t="shared" si="6"/>
        <v/>
      </c>
      <c r="AA790" s="531" t="str">
        <f t="shared" si="7"/>
        <v/>
      </c>
      <c r="AB790" s="531" t="str">
        <f t="shared" si="8"/>
        <v/>
      </c>
      <c r="AC790" s="531" t="str">
        <f t="shared" si="9"/>
        <v/>
      </c>
      <c r="AD790" s="531" t="str">
        <f t="shared" si="10"/>
        <v/>
      </c>
      <c r="AE790" s="531" t="str">
        <f t="shared" si="11"/>
        <v/>
      </c>
      <c r="AF790" s="531" t="str">
        <f t="shared" si="12"/>
        <v/>
      </c>
      <c r="AG790" s="531" t="str">
        <f t="shared" si="13"/>
        <v/>
      </c>
      <c r="AH790" s="531" t="str">
        <f t="shared" si="14"/>
        <v/>
      </c>
      <c r="AI790" s="531" t="str">
        <f t="shared" si="15"/>
        <v/>
      </c>
      <c r="AJ790" s="531" t="str">
        <f t="shared" si="16"/>
        <v/>
      </c>
      <c r="AK790" s="531" t="str">
        <f t="shared" si="17"/>
        <v/>
      </c>
      <c r="AL790" s="531" t="str">
        <f t="shared" si="18"/>
        <v/>
      </c>
      <c r="AM790" s="531" t="str">
        <f t="shared" si="19"/>
        <v/>
      </c>
      <c r="AN790" s="531" t="str">
        <f t="shared" si="20"/>
        <v/>
      </c>
      <c r="AO790" s="531" t="str">
        <f t="shared" si="21"/>
        <v/>
      </c>
      <c r="AP790" s="531" t="str">
        <f t="shared" si="22"/>
        <v/>
      </c>
      <c r="AQ790" s="531" t="str">
        <f t="shared" si="23"/>
        <v/>
      </c>
      <c r="AR790" s="531" t="str">
        <f t="shared" si="24"/>
        <v/>
      </c>
      <c r="AS790" s="531" t="str">
        <f t="shared" si="25"/>
        <v/>
      </c>
      <c r="AT790" s="531" t="str">
        <f t="shared" si="26"/>
        <v/>
      </c>
      <c r="AU790" s="531" t="str">
        <f t="shared" si="27"/>
        <v/>
      </c>
      <c r="AV790" s="531" t="str">
        <f t="shared" si="28"/>
        <v/>
      </c>
      <c r="AW790" s="531" t="str">
        <f t="shared" si="29"/>
        <v/>
      </c>
      <c r="AX790" s="531" t="str">
        <f t="shared" si="30"/>
        <v/>
      </c>
      <c r="AY790" s="531" t="str">
        <f t="shared" si="31"/>
        <v/>
      </c>
      <c r="AZ790" s="531" t="str">
        <f t="shared" si="32"/>
        <v/>
      </c>
      <c r="BA790" s="531" t="str">
        <f t="shared" si="33"/>
        <v/>
      </c>
      <c r="BB790" s="531" t="str">
        <f t="shared" si="34"/>
        <v/>
      </c>
      <c r="BC790" s="531" t="str">
        <f t="shared" si="35"/>
        <v/>
      </c>
      <c r="BD790" s="531" t="str">
        <f t="shared" si="36"/>
        <v/>
      </c>
      <c r="BE790" s="531" t="str">
        <f t="shared" si="37"/>
        <v/>
      </c>
      <c r="BF790" s="531" t="str">
        <f t="shared" si="38"/>
        <v/>
      </c>
      <c r="BG790" s="531" t="str">
        <f t="shared" si="39"/>
        <v/>
      </c>
      <c r="BH790" s="531" t="str">
        <f t="shared" si="40"/>
        <v/>
      </c>
      <c r="BI790" s="531" t="str">
        <f t="shared" si="41"/>
        <v/>
      </c>
      <c r="BJ790" s="531" t="str">
        <f t="shared" si="42"/>
        <v/>
      </c>
      <c r="BK790" s="531" t="str">
        <f t="shared" si="43"/>
        <v/>
      </c>
      <c r="BL790" s="531" t="str">
        <f t="shared" si="44"/>
        <v/>
      </c>
      <c r="BM790" s="531" t="str">
        <f t="shared" si="45"/>
        <v/>
      </c>
      <c r="BN790" s="531" t="str">
        <f t="shared" si="46"/>
        <v/>
      </c>
      <c r="BO790" s="531" t="str">
        <f t="shared" si="47"/>
        <v/>
      </c>
      <c r="BP790" s="531" t="str">
        <f t="shared" si="48"/>
        <v/>
      </c>
      <c r="BQ790" s="531" t="str">
        <f t="shared" si="49"/>
        <v/>
      </c>
      <c r="BR790" s="531" t="str">
        <f t="shared" si="50"/>
        <v/>
      </c>
      <c r="BS790" s="531" t="str">
        <f t="shared" si="51"/>
        <v/>
      </c>
      <c r="BT790" s="531" t="str">
        <f t="shared" si="52"/>
        <v/>
      </c>
      <c r="BU790" s="531" t="str">
        <f t="shared" si="53"/>
        <v/>
      </c>
      <c r="BV790" s="531" t="str">
        <f t="shared" si="54"/>
        <v/>
      </c>
      <c r="BW790" s="531" t="str">
        <f t="shared" si="55"/>
        <v/>
      </c>
      <c r="BX790" s="531" t="str">
        <f t="shared" si="56"/>
        <v/>
      </c>
      <c r="BY790" s="531" t="str">
        <f t="shared" si="57"/>
        <v/>
      </c>
      <c r="BZ790" s="531" t="str">
        <f t="shared" si="58"/>
        <v/>
      </c>
      <c r="CA790" s="531" t="str">
        <f t="shared" si="59"/>
        <v/>
      </c>
      <c r="CB790" s="531" t="str">
        <f t="shared" si="60"/>
        <v/>
      </c>
      <c r="CC790" s="531" t="str">
        <f t="shared" si="61"/>
        <v/>
      </c>
      <c r="CD790" s="531" t="str">
        <f t="shared" si="62"/>
        <v/>
      </c>
      <c r="CE790" s="531" t="str">
        <f t="shared" si="63"/>
        <v/>
      </c>
      <c r="CF790" s="531" t="str">
        <f t="shared" si="64"/>
        <v/>
      </c>
      <c r="CG790" s="531" t="str">
        <f t="shared" si="65"/>
        <v/>
      </c>
      <c r="CH790" s="531" t="str">
        <f t="shared" si="66"/>
        <v/>
      </c>
      <c r="CI790" s="531" t="str">
        <f t="shared" si="67"/>
        <v/>
      </c>
      <c r="CJ790" s="531" t="str">
        <f t="shared" si="68"/>
        <v/>
      </c>
      <c r="CK790" s="531" t="str">
        <f t="shared" si="69"/>
        <v/>
      </c>
      <c r="CL790" s="531" t="str">
        <f t="shared" si="70"/>
        <v/>
      </c>
      <c r="CM790" s="531" t="str">
        <f t="shared" si="71"/>
        <v/>
      </c>
      <c r="CN790" s="531" t="str">
        <f t="shared" si="72"/>
        <v/>
      </c>
      <c r="CO790" s="531" t="str">
        <f t="shared" si="73"/>
        <v/>
      </c>
      <c r="CP790" s="531" t="str">
        <f t="shared" si="74"/>
        <v/>
      </c>
      <c r="CQ790" s="531" t="str">
        <f t="shared" si="75"/>
        <v/>
      </c>
      <c r="CR790" s="531" t="str">
        <f t="shared" si="76"/>
        <v/>
      </c>
      <c r="CS790" s="531" t="str">
        <f t="shared" si="77"/>
        <v/>
      </c>
      <c r="CT790" s="531" t="str">
        <f t="shared" si="78"/>
        <v/>
      </c>
      <c r="CU790" s="531" t="str">
        <f t="shared" si="79"/>
        <v/>
      </c>
      <c r="CV790" s="531" t="str">
        <f t="shared" si="80"/>
        <v/>
      </c>
      <c r="CW790" s="531" t="str">
        <f t="shared" si="81"/>
        <v/>
      </c>
      <c r="CX790" s="531" t="str">
        <f t="shared" si="82"/>
        <v/>
      </c>
      <c r="CY790" s="531" t="str">
        <f t="shared" si="83"/>
        <v/>
      </c>
      <c r="CZ790" s="531" t="str">
        <f t="shared" si="84"/>
        <v/>
      </c>
      <c r="DA790" s="531" t="str">
        <f t="shared" si="85"/>
        <v/>
      </c>
      <c r="DB790" s="531" t="str">
        <f t="shared" si="86"/>
        <v/>
      </c>
      <c r="DC790" s="531" t="str">
        <f t="shared" si="87"/>
        <v/>
      </c>
      <c r="DD790" s="531" t="str">
        <f t="shared" si="88"/>
        <v/>
      </c>
      <c r="DE790" s="531" t="str">
        <f t="shared" si="89"/>
        <v/>
      </c>
      <c r="DF790" s="531" t="str">
        <f t="shared" si="90"/>
        <v/>
      </c>
      <c r="DG790" s="531" t="str">
        <f t="shared" si="91"/>
        <v/>
      </c>
      <c r="DH790" s="531" t="str">
        <f t="shared" si="92"/>
        <v/>
      </c>
      <c r="DI790" s="531" t="str">
        <f t="shared" si="93"/>
        <v/>
      </c>
      <c r="DJ790" s="531" t="str">
        <f t="shared" si="94"/>
        <v/>
      </c>
      <c r="DK790" s="531" t="str">
        <f t="shared" si="95"/>
        <v/>
      </c>
      <c r="DL790" s="531" t="str">
        <f t="shared" si="96"/>
        <v/>
      </c>
      <c r="DM790" s="531" t="str">
        <f t="shared" si="97"/>
        <v/>
      </c>
      <c r="DN790" s="531" t="str">
        <f t="shared" si="98"/>
        <v/>
      </c>
      <c r="DO790" s="531" t="str">
        <f t="shared" si="99"/>
        <v/>
      </c>
      <c r="DP790" s="531" t="str">
        <f t="shared" si="100"/>
        <v/>
      </c>
      <c r="DQ790" s="531" t="str">
        <f t="shared" si="101"/>
        <v/>
      </c>
      <c r="DR790" s="531" t="str">
        <f t="shared" si="102"/>
        <v/>
      </c>
      <c r="DS790" s="531" t="str">
        <f t="shared" si="103"/>
        <v/>
      </c>
      <c r="DT790" s="531" t="str">
        <f t="shared" si="104"/>
        <v/>
      </c>
      <c r="DU790" s="531" t="str">
        <f t="shared" si="105"/>
        <v/>
      </c>
      <c r="DV790" s="531" t="str">
        <f t="shared" si="106"/>
        <v/>
      </c>
      <c r="DW790" s="531" t="str">
        <f t="shared" si="107"/>
        <v/>
      </c>
      <c r="DX790" s="531" t="str">
        <f t="shared" si="108"/>
        <v/>
      </c>
      <c r="DY790" s="531" t="str">
        <f t="shared" si="109"/>
        <v/>
      </c>
      <c r="DZ790" s="531" t="str">
        <f t="shared" si="110"/>
        <v/>
      </c>
      <c r="EA790" s="531" t="str">
        <f t="shared" si="111"/>
        <v/>
      </c>
      <c r="EB790" s="531" t="str">
        <f t="shared" si="112"/>
        <v/>
      </c>
      <c r="EC790" s="531" t="str">
        <f t="shared" si="113"/>
        <v/>
      </c>
      <c r="ED790" s="531" t="str">
        <f t="shared" si="114"/>
        <v/>
      </c>
      <c r="EE790" s="531" t="str">
        <f t="shared" si="115"/>
        <v/>
      </c>
      <c r="EF790" s="531" t="str">
        <f t="shared" si="116"/>
        <v/>
      </c>
      <c r="EG790" s="531" t="str">
        <f t="shared" si="117"/>
        <v/>
      </c>
      <c r="EH790" s="531" t="str">
        <f t="shared" si="118"/>
        <v/>
      </c>
      <c r="EI790" s="531" t="str">
        <f t="shared" si="119"/>
        <v/>
      </c>
      <c r="EJ790" s="531" t="str">
        <f t="shared" si="120"/>
        <v/>
      </c>
      <c r="EK790" s="531" t="str">
        <f t="shared" si="121"/>
        <v/>
      </c>
      <c r="EL790" s="531" t="str">
        <f t="shared" si="122"/>
        <v/>
      </c>
      <c r="EM790" s="531" t="str">
        <f t="shared" si="123"/>
        <v/>
      </c>
      <c r="EN790" s="531" t="str">
        <f t="shared" si="124"/>
        <v/>
      </c>
      <c r="EO790" s="531" t="str">
        <f t="shared" si="125"/>
        <v/>
      </c>
      <c r="EP790" s="531" t="str">
        <f t="shared" si="126"/>
        <v/>
      </c>
      <c r="EQ790" s="531" t="str">
        <f t="shared" si="127"/>
        <v/>
      </c>
      <c r="ER790" s="531" t="str">
        <f t="shared" si="128"/>
        <v/>
      </c>
      <c r="ES790" s="531" t="str">
        <f t="shared" si="129"/>
        <v/>
      </c>
      <c r="ET790" s="531" t="str">
        <f t="shared" si="130"/>
        <v/>
      </c>
      <c r="EU790" s="531" t="str">
        <f t="shared" si="131"/>
        <v/>
      </c>
      <c r="EV790" s="531" t="str">
        <f t="shared" si="132"/>
        <v/>
      </c>
      <c r="EW790" s="1554" t="str">
        <f t="shared" si="133"/>
        <v/>
      </c>
      <c r="EX790" s="1554" t="str">
        <f t="shared" si="134"/>
        <v/>
      </c>
      <c r="EY790" s="1554" t="str">
        <f t="shared" si="135"/>
        <v/>
      </c>
      <c r="EZ790" s="1554" t="str">
        <f t="shared" si="136"/>
        <v/>
      </c>
      <c r="FA790" s="1554" t="str">
        <f t="shared" si="137"/>
        <v/>
      </c>
      <c r="FB790" s="1554" t="str">
        <f t="shared" si="138"/>
        <v/>
      </c>
      <c r="FC790" s="1554" t="str">
        <f t="shared" si="139"/>
        <v/>
      </c>
      <c r="FD790" s="1554" t="str">
        <f t="shared" si="140"/>
        <v/>
      </c>
      <c r="FE790" s="1554" t="str">
        <f t="shared" si="141"/>
        <v/>
      </c>
      <c r="FF790" s="1554" t="str">
        <f t="shared" si="142"/>
        <v/>
      </c>
      <c r="FG790" s="1554" t="str">
        <f t="shared" si="143"/>
        <v/>
      </c>
      <c r="FH790" s="1554" t="str">
        <f t="shared" si="144"/>
        <v/>
      </c>
      <c r="FI790" s="1554" t="str">
        <f t="shared" si="145"/>
        <v/>
      </c>
      <c r="FJ790" s="1554" t="str">
        <f t="shared" si="146"/>
        <v/>
      </c>
      <c r="FK790" s="1554" t="str">
        <f t="shared" si="147"/>
        <v/>
      </c>
      <c r="FL790" s="1554" t="str">
        <f t="shared" si="148"/>
        <v/>
      </c>
      <c r="FM790" s="1554" t="str">
        <f t="shared" si="149"/>
        <v/>
      </c>
      <c r="FN790" s="1554" t="str">
        <f t="shared" si="150"/>
        <v/>
      </c>
      <c r="FO790" s="1554" t="str">
        <f t="shared" si="151"/>
        <v/>
      </c>
      <c r="FP790" s="1554" t="str">
        <f t="shared" si="152"/>
        <v/>
      </c>
      <c r="FQ790" s="1554" t="str">
        <f t="shared" si="153"/>
        <v/>
      </c>
      <c r="FR790" s="1554" t="str">
        <f t="shared" si="154"/>
        <v/>
      </c>
      <c r="FS790" s="1554" t="str">
        <f t="shared" si="155"/>
        <v/>
      </c>
      <c r="FT790" s="1554" t="str">
        <f t="shared" si="156"/>
        <v/>
      </c>
      <c r="FU790" s="1554" t="str">
        <f t="shared" si="157"/>
        <v/>
      </c>
      <c r="FV790" s="1554" t="str">
        <f t="shared" si="158"/>
        <v/>
      </c>
      <c r="FW790" s="1554" t="str">
        <f t="shared" si="159"/>
        <v/>
      </c>
      <c r="FX790" s="1554" t="str">
        <f t="shared" si="160"/>
        <v/>
      </c>
      <c r="FY790" s="1554" t="str">
        <f t="shared" si="161"/>
        <v/>
      </c>
      <c r="FZ790" s="1554" t="str">
        <f t="shared" si="162"/>
        <v/>
      </c>
      <c r="GA790" s="1554" t="str">
        <f t="shared" si="163"/>
        <v/>
      </c>
      <c r="GB790" s="1554" t="str">
        <f t="shared" si="164"/>
        <v/>
      </c>
      <c r="GC790" s="1554" t="str">
        <f t="shared" si="165"/>
        <v/>
      </c>
      <c r="GD790" s="1554" t="str">
        <f t="shared" si="166"/>
        <v/>
      </c>
      <c r="GE790" s="1554" t="str">
        <f t="shared" si="167"/>
        <v/>
      </c>
      <c r="GF790" s="1554" t="str">
        <f t="shared" si="168"/>
        <v/>
      </c>
      <c r="GG790" s="1554" t="str">
        <f t="shared" si="169"/>
        <v/>
      </c>
      <c r="GH790" s="1554" t="str">
        <f t="shared" si="170"/>
        <v/>
      </c>
      <c r="GI790" s="1554" t="str">
        <f t="shared" si="171"/>
        <v/>
      </c>
      <c r="GJ790" s="1554" t="str">
        <f t="shared" si="172"/>
        <v/>
      </c>
      <c r="GK790" s="1554" t="str">
        <f t="shared" si="173"/>
        <v/>
      </c>
      <c r="GL790" s="1554" t="str">
        <f t="shared" si="174"/>
        <v/>
      </c>
      <c r="GM790" s="1554" t="str">
        <f t="shared" si="175"/>
        <v/>
      </c>
      <c r="GN790" s="1554" t="str">
        <f t="shared" si="176"/>
        <v/>
      </c>
      <c r="GO790" s="1554" t="str">
        <f t="shared" si="177"/>
        <v/>
      </c>
      <c r="GP790" s="1554" t="str">
        <f t="shared" si="178"/>
        <v/>
      </c>
      <c r="GQ790" s="1554" t="str">
        <f t="shared" si="179"/>
        <v/>
      </c>
      <c r="GR790" s="1554" t="str">
        <f t="shared" si="180"/>
        <v/>
      </c>
      <c r="GS790" s="1554" t="str">
        <f t="shared" si="181"/>
        <v/>
      </c>
      <c r="GT790" s="1554" t="str">
        <f t="shared" si="182"/>
        <v/>
      </c>
      <c r="GU790" s="1554" t="str">
        <f t="shared" si="183"/>
        <v/>
      </c>
      <c r="GV790" s="1554" t="str">
        <f t="shared" si="184"/>
        <v/>
      </c>
      <c r="GW790" s="1554" t="str">
        <f t="shared" si="185"/>
        <v/>
      </c>
      <c r="GX790" s="1554" t="str">
        <f t="shared" si="186"/>
        <v/>
      </c>
      <c r="GY790" s="1554" t="str">
        <f t="shared" si="187"/>
        <v/>
      </c>
      <c r="GZ790" s="1554" t="str">
        <f t="shared" si="188"/>
        <v/>
      </c>
      <c r="HA790" s="1554" t="str">
        <f t="shared" si="189"/>
        <v/>
      </c>
      <c r="HB790" s="1554" t="str">
        <f t="shared" si="190"/>
        <v/>
      </c>
      <c r="HC790" s="1554" t="str">
        <f t="shared" si="191"/>
        <v/>
      </c>
      <c r="HD790" s="1554" t="str">
        <f t="shared" si="192"/>
        <v/>
      </c>
      <c r="HE790" s="1554" t="str">
        <f t="shared" si="193"/>
        <v/>
      </c>
      <c r="HF790" s="1554" t="str">
        <f t="shared" si="194"/>
        <v/>
      </c>
      <c r="HG790" s="1554" t="str">
        <f t="shared" si="195"/>
        <v/>
      </c>
      <c r="HH790" s="1554" t="str">
        <f t="shared" si="196"/>
        <v/>
      </c>
      <c r="HI790" s="1554" t="str">
        <f t="shared" si="197"/>
        <v/>
      </c>
      <c r="HJ790" s="1554" t="str">
        <f t="shared" si="198"/>
        <v/>
      </c>
      <c r="HK790" s="1554" t="str">
        <f t="shared" si="199"/>
        <v/>
      </c>
      <c r="HL790" s="1554" t="str">
        <f t="shared" si="200"/>
        <v/>
      </c>
      <c r="HM790" s="1554" t="str">
        <f t="shared" si="201"/>
        <v/>
      </c>
      <c r="HN790" s="1554" t="str">
        <f t="shared" si="202"/>
        <v/>
      </c>
      <c r="HO790" s="1554" t="str">
        <f t="shared" si="203"/>
        <v/>
      </c>
      <c r="HP790" s="1554" t="str">
        <f t="shared" si="204"/>
        <v/>
      </c>
      <c r="HQ790" s="1554" t="str">
        <f t="shared" si="205"/>
        <v/>
      </c>
      <c r="HR790" s="1554" t="str">
        <f t="shared" si="206"/>
        <v/>
      </c>
      <c r="HS790" s="1554" t="str">
        <f t="shared" si="207"/>
        <v/>
      </c>
      <c r="HT790" s="1554" t="str">
        <f t="shared" si="208"/>
        <v/>
      </c>
      <c r="HU790" s="1554" t="str">
        <f t="shared" si="209"/>
        <v/>
      </c>
      <c r="HV790" s="1554" t="str">
        <f t="shared" si="210"/>
        <v/>
      </c>
      <c r="HW790" s="1554" t="str">
        <f t="shared" si="211"/>
        <v/>
      </c>
      <c r="HX790" s="1554" t="str">
        <f t="shared" si="212"/>
        <v/>
      </c>
      <c r="HY790" s="1554" t="str">
        <f t="shared" si="213"/>
        <v/>
      </c>
      <c r="HZ790" s="1554" t="str">
        <f t="shared" si="214"/>
        <v/>
      </c>
      <c r="IA790" s="1554" t="str">
        <f t="shared" si="215"/>
        <v/>
      </c>
      <c r="IB790" s="1554" t="str">
        <f t="shared" si="216"/>
        <v/>
      </c>
      <c r="IC790" s="1554" t="str">
        <f t="shared" si="217"/>
        <v/>
      </c>
      <c r="ID790" s="31" t="str">
        <f t="shared" si="218"/>
        <v/>
      </c>
      <c r="IE790" s="31" t="str">
        <f t="shared" si="219"/>
        <v/>
      </c>
      <c r="IF790" s="31" t="str">
        <f t="shared" si="220"/>
        <v/>
      </c>
      <c r="IG790" s="31" t="str">
        <f t="shared" si="221"/>
        <v/>
      </c>
      <c r="IH790" s="31" t="str">
        <f t="shared" si="222"/>
        <v/>
      </c>
      <c r="II790" s="531" t="str">
        <f t="shared" si="223"/>
        <v/>
      </c>
      <c r="IJ790" s="531" t="str">
        <f t="shared" si="224"/>
        <v/>
      </c>
      <c r="IK790" s="531" t="str">
        <f t="shared" si="225"/>
        <v/>
      </c>
      <c r="IL790" s="531" t="str">
        <f t="shared" si="226"/>
        <v/>
      </c>
      <c r="IM790" s="531" t="str">
        <f t="shared" si="227"/>
        <v/>
      </c>
      <c r="IN790" s="531" t="str">
        <f t="shared" si="228"/>
        <v/>
      </c>
      <c r="IO790" s="531" t="str">
        <f t="shared" si="229"/>
        <v/>
      </c>
      <c r="IP790" s="531" t="str">
        <f t="shared" si="230"/>
        <v/>
      </c>
      <c r="IQ790" s="531" t="str">
        <f t="shared" si="231"/>
        <v/>
      </c>
      <c r="IR790" s="531" t="str">
        <f t="shared" si="232"/>
        <v/>
      </c>
      <c r="IS790" s="531" t="str">
        <f t="shared" si="233"/>
        <v/>
      </c>
      <c r="IT790" s="531" t="str">
        <f t="shared" si="234"/>
        <v/>
      </c>
      <c r="IU790" s="531" t="str">
        <f t="shared" si="235"/>
        <v/>
      </c>
      <c r="IV790" s="531" t="str">
        <f t="shared" si="236"/>
        <v/>
      </c>
      <c r="IW790" s="531" t="str">
        <f t="shared" si="237"/>
        <v/>
      </c>
      <c r="IX790" s="531" t="str">
        <f t="shared" si="238"/>
        <v/>
      </c>
      <c r="IY790" s="531" t="str">
        <f t="shared" si="239"/>
        <v/>
      </c>
      <c r="IZ790" s="531" t="str">
        <f t="shared" si="240"/>
        <v/>
      </c>
      <c r="JA790" s="531" t="str">
        <f t="shared" si="241"/>
        <v/>
      </c>
      <c r="JB790" s="531" t="str">
        <f t="shared" si="242"/>
        <v/>
      </c>
      <c r="JC790" s="615">
        <f t="shared" si="243"/>
        <v>0</v>
      </c>
      <c r="JD790" s="615">
        <f t="shared" si="244"/>
        <v>0</v>
      </c>
      <c r="JE790" s="615">
        <f t="shared" si="245"/>
        <v>0</v>
      </c>
      <c r="JF790" s="615">
        <f t="shared" si="246"/>
        <v>0</v>
      </c>
      <c r="JG790" s="615">
        <f t="shared" si="247"/>
        <v>0</v>
      </c>
      <c r="JH790" s="615">
        <f t="shared" si="248"/>
        <v>0</v>
      </c>
      <c r="JI790" s="615">
        <f t="shared" si="249"/>
        <v>0</v>
      </c>
      <c r="JJ790" s="615">
        <f t="shared" si="250"/>
        <v>0</v>
      </c>
      <c r="JK790" s="615">
        <f t="shared" si="251"/>
        <v>0</v>
      </c>
      <c r="JL790" s="615">
        <f t="shared" si="252"/>
        <v>0</v>
      </c>
      <c r="JM790" s="615">
        <f t="shared" si="253"/>
        <v>0</v>
      </c>
      <c r="JN790" s="615">
        <f t="shared" si="254"/>
        <v>0</v>
      </c>
      <c r="JO790" s="615">
        <f t="shared" si="255"/>
        <v>0</v>
      </c>
      <c r="JP790" s="615">
        <f t="shared" si="256"/>
        <v>0</v>
      </c>
      <c r="JQ790" s="615">
        <f t="shared" si="257"/>
        <v>0</v>
      </c>
    </row>
    <row r="791" spans="1:278" ht="12" customHeight="1">
      <c r="A791" s="1190">
        <f>COUNT(A753,A754,A755,A756,A757,A758,A759,A760,A761,A762,A763,A764,A765,A766,A767,A768,A769,A770,A771,A772,A773,A774,A775,A776,A777,A778,A779,A780,A781,A782)</f>
        <v>0</v>
      </c>
      <c r="B791" s="533"/>
      <c r="C791" s="533"/>
      <c r="D791" s="196" t="s">
        <v>1055</v>
      </c>
      <c r="E791" s="175">
        <f>SUM(E753:E790)</f>
        <v>208</v>
      </c>
      <c r="F791" s="1555">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111354</v>
      </c>
      <c r="G791" s="757"/>
      <c r="H791" s="757"/>
      <c r="I791" s="757"/>
      <c r="J791" s="757"/>
      <c r="K791" s="1556" t="s">
        <v>1351</v>
      </c>
      <c r="L791" s="175">
        <f>SUM(L753:L790)</f>
        <v>207625</v>
      </c>
      <c r="M791" s="533"/>
      <c r="N791" s="533"/>
      <c r="O791" s="533"/>
      <c r="P791" s="533"/>
      <c r="Q791" s="533"/>
      <c r="R791" s="533"/>
      <c r="S791" s="533"/>
      <c r="T791" s="533"/>
      <c r="U791" s="1219"/>
      <c r="V791" s="759"/>
      <c r="W791" s="759">
        <f t="shared" ref="W791:CH791" si="258">SUM(W753:W790)</f>
        <v>3</v>
      </c>
      <c r="X791" s="759">
        <f t="shared" si="258"/>
        <v>205</v>
      </c>
      <c r="Y791" s="759">
        <f t="shared" si="258"/>
        <v>0</v>
      </c>
      <c r="Z791" s="759">
        <f t="shared" si="258"/>
        <v>0</v>
      </c>
      <c r="AA791" s="759">
        <f t="shared" si="258"/>
        <v>0</v>
      </c>
      <c r="AB791" s="759">
        <f t="shared" si="258"/>
        <v>0</v>
      </c>
      <c r="AC791" s="759">
        <f t="shared" si="258"/>
        <v>0</v>
      </c>
      <c r="AD791" s="759">
        <f t="shared" si="258"/>
        <v>0</v>
      </c>
      <c r="AE791" s="759">
        <f t="shared" si="258"/>
        <v>0</v>
      </c>
      <c r="AF791" s="759">
        <f t="shared" si="258"/>
        <v>0</v>
      </c>
      <c r="AG791" s="759">
        <f t="shared" si="258"/>
        <v>0</v>
      </c>
      <c r="AH791" s="759">
        <f t="shared" si="258"/>
        <v>0</v>
      </c>
      <c r="AI791" s="759">
        <f t="shared" si="258"/>
        <v>0</v>
      </c>
      <c r="AJ791" s="759">
        <f t="shared" si="258"/>
        <v>0</v>
      </c>
      <c r="AK791" s="759">
        <f t="shared" si="258"/>
        <v>0</v>
      </c>
      <c r="AL791" s="759">
        <f t="shared" si="258"/>
        <v>0</v>
      </c>
      <c r="AM791" s="759">
        <f t="shared" si="258"/>
        <v>0</v>
      </c>
      <c r="AN791" s="759">
        <f t="shared" si="258"/>
        <v>0</v>
      </c>
      <c r="AO791" s="759">
        <f t="shared" si="258"/>
        <v>0</v>
      </c>
      <c r="AP791" s="759">
        <f t="shared" si="258"/>
        <v>0</v>
      </c>
      <c r="AQ791" s="759">
        <f t="shared" si="258"/>
        <v>0</v>
      </c>
      <c r="AR791" s="759">
        <f t="shared" si="258"/>
        <v>0</v>
      </c>
      <c r="AS791" s="759">
        <f t="shared" si="258"/>
        <v>0</v>
      </c>
      <c r="AT791" s="759">
        <f t="shared" si="258"/>
        <v>0</v>
      </c>
      <c r="AU791" s="759">
        <f t="shared" si="258"/>
        <v>0</v>
      </c>
      <c r="AV791" s="759">
        <f t="shared" si="258"/>
        <v>0</v>
      </c>
      <c r="AW791" s="759">
        <f t="shared" si="258"/>
        <v>0</v>
      </c>
      <c r="AX791" s="759">
        <f t="shared" si="258"/>
        <v>0</v>
      </c>
      <c r="AY791" s="759">
        <f t="shared" si="258"/>
        <v>0</v>
      </c>
      <c r="AZ791" s="759">
        <f t="shared" si="258"/>
        <v>0</v>
      </c>
      <c r="BA791" s="759">
        <f t="shared" si="258"/>
        <v>3</v>
      </c>
      <c r="BB791" s="759">
        <f t="shared" si="258"/>
        <v>205</v>
      </c>
      <c r="BC791" s="759">
        <f t="shared" si="258"/>
        <v>0</v>
      </c>
      <c r="BD791" s="759">
        <f t="shared" si="258"/>
        <v>0</v>
      </c>
      <c r="BE791" s="759">
        <f t="shared" si="258"/>
        <v>0</v>
      </c>
      <c r="BF791" s="759">
        <f t="shared" si="258"/>
        <v>0</v>
      </c>
      <c r="BG791" s="759">
        <f t="shared" si="258"/>
        <v>0</v>
      </c>
      <c r="BH791" s="759">
        <f t="shared" si="258"/>
        <v>0</v>
      </c>
      <c r="BI791" s="759">
        <f t="shared" si="258"/>
        <v>0</v>
      </c>
      <c r="BJ791" s="759">
        <f t="shared" si="258"/>
        <v>0</v>
      </c>
      <c r="BK791" s="759">
        <f t="shared" si="258"/>
        <v>0</v>
      </c>
      <c r="BL791" s="759">
        <f t="shared" si="258"/>
        <v>0</v>
      </c>
      <c r="BM791" s="759">
        <f t="shared" si="258"/>
        <v>0</v>
      </c>
      <c r="BN791" s="759">
        <f t="shared" si="258"/>
        <v>0</v>
      </c>
      <c r="BO791" s="759">
        <f t="shared" si="258"/>
        <v>0</v>
      </c>
      <c r="BP791" s="759">
        <f t="shared" si="258"/>
        <v>0</v>
      </c>
      <c r="BQ791" s="759">
        <f t="shared" si="258"/>
        <v>0</v>
      </c>
      <c r="BR791" s="759">
        <f t="shared" si="258"/>
        <v>0</v>
      </c>
      <c r="BS791" s="759">
        <f t="shared" si="258"/>
        <v>0</v>
      </c>
      <c r="BT791" s="759">
        <f t="shared" si="258"/>
        <v>0</v>
      </c>
      <c r="BU791" s="759">
        <f t="shared" si="258"/>
        <v>0</v>
      </c>
      <c r="BV791" s="759">
        <f t="shared" si="258"/>
        <v>0</v>
      </c>
      <c r="BW791" s="759">
        <f t="shared" si="258"/>
        <v>0</v>
      </c>
      <c r="BX791" s="759">
        <f t="shared" si="258"/>
        <v>0</v>
      </c>
      <c r="BY791" s="759">
        <f t="shared" si="258"/>
        <v>0</v>
      </c>
      <c r="BZ791" s="759">
        <f t="shared" si="258"/>
        <v>1245</v>
      </c>
      <c r="CA791" s="759">
        <f t="shared" si="258"/>
        <v>110109</v>
      </c>
      <c r="CB791" s="759">
        <f t="shared" si="258"/>
        <v>0</v>
      </c>
      <c r="CC791" s="759">
        <f t="shared" si="258"/>
        <v>0</v>
      </c>
      <c r="CD791" s="759">
        <f t="shared" si="258"/>
        <v>0</v>
      </c>
      <c r="CE791" s="759">
        <f t="shared" si="258"/>
        <v>0</v>
      </c>
      <c r="CF791" s="759">
        <f t="shared" si="258"/>
        <v>0</v>
      </c>
      <c r="CG791" s="759">
        <f t="shared" si="258"/>
        <v>0</v>
      </c>
      <c r="CH791" s="759">
        <f t="shared" si="258"/>
        <v>0</v>
      </c>
      <c r="CI791" s="759">
        <f t="shared" ref="CI791:ET791" si="259">SUM(CI753:CI790)</f>
        <v>0</v>
      </c>
      <c r="CJ791" s="759">
        <f t="shared" si="259"/>
        <v>0</v>
      </c>
      <c r="CK791" s="759">
        <f t="shared" si="259"/>
        <v>0</v>
      </c>
      <c r="CL791" s="759">
        <f t="shared" si="259"/>
        <v>0</v>
      </c>
      <c r="CM791" s="759">
        <f t="shared" si="259"/>
        <v>0</v>
      </c>
      <c r="CN791" s="759">
        <f t="shared" si="259"/>
        <v>0</v>
      </c>
      <c r="CO791" s="759">
        <f t="shared" si="259"/>
        <v>0</v>
      </c>
      <c r="CP791" s="759">
        <f t="shared" si="259"/>
        <v>0</v>
      </c>
      <c r="CQ791" s="759">
        <f t="shared" si="259"/>
        <v>0</v>
      </c>
      <c r="CR791" s="759">
        <f t="shared" si="259"/>
        <v>0</v>
      </c>
      <c r="CS791" s="759">
        <f t="shared" si="259"/>
        <v>0</v>
      </c>
      <c r="CT791" s="759">
        <f t="shared" si="259"/>
        <v>1245</v>
      </c>
      <c r="CU791" s="759">
        <f t="shared" si="259"/>
        <v>110109</v>
      </c>
      <c r="CV791" s="759">
        <f t="shared" si="259"/>
        <v>0</v>
      </c>
      <c r="CW791" s="759">
        <f t="shared" si="259"/>
        <v>0</v>
      </c>
      <c r="CX791" s="759">
        <f t="shared" si="259"/>
        <v>0</v>
      </c>
      <c r="CY791" s="759">
        <f t="shared" si="259"/>
        <v>0</v>
      </c>
      <c r="CZ791" s="759">
        <f t="shared" si="259"/>
        <v>0</v>
      </c>
      <c r="DA791" s="759">
        <f t="shared" si="259"/>
        <v>0</v>
      </c>
      <c r="DB791" s="759">
        <f t="shared" si="259"/>
        <v>0</v>
      </c>
      <c r="DC791" s="759">
        <f t="shared" si="259"/>
        <v>0</v>
      </c>
      <c r="DD791" s="759">
        <f t="shared" si="259"/>
        <v>0</v>
      </c>
      <c r="DE791" s="759">
        <f t="shared" si="259"/>
        <v>0</v>
      </c>
      <c r="DF791" s="759">
        <f t="shared" si="259"/>
        <v>0</v>
      </c>
      <c r="DG791" s="759">
        <f t="shared" si="259"/>
        <v>0</v>
      </c>
      <c r="DH791" s="759">
        <f t="shared" si="259"/>
        <v>0</v>
      </c>
      <c r="DI791" s="759">
        <f t="shared" si="259"/>
        <v>0</v>
      </c>
      <c r="DJ791" s="759">
        <f t="shared" si="259"/>
        <v>0</v>
      </c>
      <c r="DK791" s="759">
        <f t="shared" si="259"/>
        <v>0</v>
      </c>
      <c r="DL791" s="759">
        <f t="shared" si="259"/>
        <v>0</v>
      </c>
      <c r="DM791" s="759">
        <f t="shared" si="259"/>
        <v>0</v>
      </c>
      <c r="DN791" s="759">
        <f t="shared" si="259"/>
        <v>0</v>
      </c>
      <c r="DO791" s="759">
        <f t="shared" si="259"/>
        <v>0</v>
      </c>
      <c r="DP791" s="759">
        <f t="shared" si="259"/>
        <v>0</v>
      </c>
      <c r="DQ791" s="759">
        <f t="shared" si="259"/>
        <v>0</v>
      </c>
      <c r="DR791" s="759">
        <f t="shared" si="259"/>
        <v>0</v>
      </c>
      <c r="DS791" s="759">
        <f t="shared" si="259"/>
        <v>3</v>
      </c>
      <c r="DT791" s="759">
        <f t="shared" si="259"/>
        <v>205</v>
      </c>
      <c r="DU791" s="759">
        <f t="shared" si="259"/>
        <v>0</v>
      </c>
      <c r="DV791" s="759">
        <f t="shared" si="259"/>
        <v>0</v>
      </c>
      <c r="DW791" s="759">
        <f t="shared" si="259"/>
        <v>0</v>
      </c>
      <c r="DX791" s="759">
        <f t="shared" si="259"/>
        <v>0</v>
      </c>
      <c r="DY791" s="759">
        <f t="shared" si="259"/>
        <v>0</v>
      </c>
      <c r="DZ791" s="759">
        <f t="shared" si="259"/>
        <v>0</v>
      </c>
      <c r="EA791" s="759">
        <f t="shared" si="259"/>
        <v>0</v>
      </c>
      <c r="EB791" s="759">
        <f t="shared" si="259"/>
        <v>0</v>
      </c>
      <c r="EC791" s="759">
        <f t="shared" si="259"/>
        <v>0</v>
      </c>
      <c r="ED791" s="759">
        <f t="shared" si="259"/>
        <v>0</v>
      </c>
      <c r="EE791" s="759">
        <f t="shared" si="259"/>
        <v>0</v>
      </c>
      <c r="EF791" s="759">
        <f t="shared" si="259"/>
        <v>0</v>
      </c>
      <c r="EG791" s="759">
        <f t="shared" si="259"/>
        <v>0</v>
      </c>
      <c r="EH791" s="759">
        <f t="shared" si="259"/>
        <v>0</v>
      </c>
      <c r="EI791" s="759">
        <f t="shared" si="259"/>
        <v>0</v>
      </c>
      <c r="EJ791" s="759">
        <f t="shared" si="259"/>
        <v>0</v>
      </c>
      <c r="EK791" s="759">
        <f t="shared" si="259"/>
        <v>0</v>
      </c>
      <c r="EL791" s="759">
        <f t="shared" si="259"/>
        <v>0</v>
      </c>
      <c r="EM791" s="759">
        <f t="shared" si="259"/>
        <v>0</v>
      </c>
      <c r="EN791" s="759">
        <f t="shared" si="259"/>
        <v>0</v>
      </c>
      <c r="EO791" s="759">
        <f t="shared" si="259"/>
        <v>0</v>
      </c>
      <c r="EP791" s="759">
        <f t="shared" si="259"/>
        <v>0</v>
      </c>
      <c r="EQ791" s="759">
        <f t="shared" si="259"/>
        <v>0</v>
      </c>
      <c r="ER791" s="759">
        <f t="shared" si="259"/>
        <v>0</v>
      </c>
      <c r="ES791" s="759">
        <f t="shared" si="259"/>
        <v>0</v>
      </c>
      <c r="ET791" s="759">
        <f t="shared" si="259"/>
        <v>0</v>
      </c>
      <c r="EU791" s="759">
        <f t="shared" ref="EU791:HF791" si="260">SUM(EU753:EU790)</f>
        <v>0</v>
      </c>
      <c r="EV791" s="759">
        <f t="shared" si="260"/>
        <v>0</v>
      </c>
      <c r="EW791" s="759">
        <f t="shared" si="260"/>
        <v>3</v>
      </c>
      <c r="EX791" s="759">
        <f t="shared" si="260"/>
        <v>205</v>
      </c>
      <c r="EY791" s="759">
        <f t="shared" si="260"/>
        <v>0</v>
      </c>
      <c r="EZ791" s="759">
        <f t="shared" si="260"/>
        <v>0</v>
      </c>
      <c r="FA791" s="759">
        <f t="shared" si="260"/>
        <v>0</v>
      </c>
      <c r="FB791" s="759">
        <f t="shared" si="260"/>
        <v>0</v>
      </c>
      <c r="FC791" s="759">
        <f t="shared" si="260"/>
        <v>0</v>
      </c>
      <c r="FD791" s="759">
        <f t="shared" si="260"/>
        <v>0</v>
      </c>
      <c r="FE791" s="759">
        <f t="shared" si="260"/>
        <v>0</v>
      </c>
      <c r="FF791" s="759">
        <f t="shared" si="260"/>
        <v>0</v>
      </c>
      <c r="FG791" s="759">
        <f t="shared" si="260"/>
        <v>0</v>
      </c>
      <c r="FH791" s="759">
        <f t="shared" si="260"/>
        <v>0</v>
      </c>
      <c r="FI791" s="759">
        <f t="shared" si="260"/>
        <v>0</v>
      </c>
      <c r="FJ791" s="759">
        <f t="shared" si="260"/>
        <v>0</v>
      </c>
      <c r="FK791" s="759">
        <f t="shared" si="260"/>
        <v>0</v>
      </c>
      <c r="FL791" s="759">
        <f t="shared" si="260"/>
        <v>0</v>
      </c>
      <c r="FM791" s="759">
        <f t="shared" si="260"/>
        <v>0</v>
      </c>
      <c r="FN791" s="759">
        <f t="shared" si="260"/>
        <v>0</v>
      </c>
      <c r="FO791" s="759">
        <f t="shared" si="260"/>
        <v>0</v>
      </c>
      <c r="FP791" s="759">
        <f t="shared" si="260"/>
        <v>0</v>
      </c>
      <c r="FQ791" s="759">
        <f t="shared" si="260"/>
        <v>0</v>
      </c>
      <c r="FR791" s="759">
        <f t="shared" si="260"/>
        <v>0</v>
      </c>
      <c r="FS791" s="759">
        <f t="shared" si="260"/>
        <v>0</v>
      </c>
      <c r="FT791" s="759">
        <f t="shared" si="260"/>
        <v>0</v>
      </c>
      <c r="FU791" s="759">
        <f t="shared" si="260"/>
        <v>0</v>
      </c>
      <c r="FV791" s="759">
        <f t="shared" si="260"/>
        <v>0</v>
      </c>
      <c r="FW791" s="759">
        <f t="shared" si="260"/>
        <v>0</v>
      </c>
      <c r="FX791" s="759">
        <f t="shared" si="260"/>
        <v>0</v>
      </c>
      <c r="FY791" s="759">
        <f t="shared" si="260"/>
        <v>0</v>
      </c>
      <c r="FZ791" s="759">
        <f t="shared" si="260"/>
        <v>0</v>
      </c>
      <c r="GA791" s="759">
        <f t="shared" si="260"/>
        <v>0</v>
      </c>
      <c r="GB791" s="759">
        <f t="shared" si="260"/>
        <v>0</v>
      </c>
      <c r="GC791" s="759">
        <f t="shared" si="260"/>
        <v>0</v>
      </c>
      <c r="GD791" s="759">
        <f t="shared" si="260"/>
        <v>0</v>
      </c>
      <c r="GE791" s="759">
        <f t="shared" si="260"/>
        <v>0</v>
      </c>
      <c r="GF791" s="759">
        <f t="shared" si="260"/>
        <v>0</v>
      </c>
      <c r="GG791" s="759">
        <f t="shared" si="260"/>
        <v>0</v>
      </c>
      <c r="GH791" s="759">
        <f t="shared" si="260"/>
        <v>0</v>
      </c>
      <c r="GI791" s="759">
        <f t="shared" si="260"/>
        <v>0</v>
      </c>
      <c r="GJ791" s="759">
        <f t="shared" si="260"/>
        <v>0</v>
      </c>
      <c r="GK791" s="759">
        <f t="shared" si="260"/>
        <v>0</v>
      </c>
      <c r="GL791" s="759">
        <f t="shared" si="260"/>
        <v>0</v>
      </c>
      <c r="GM791" s="759">
        <f t="shared" si="260"/>
        <v>0</v>
      </c>
      <c r="GN791" s="759">
        <f t="shared" si="260"/>
        <v>0</v>
      </c>
      <c r="GO791" s="759">
        <f t="shared" si="260"/>
        <v>0</v>
      </c>
      <c r="GP791" s="759">
        <f t="shared" si="260"/>
        <v>0</v>
      </c>
      <c r="GQ791" s="759">
        <f t="shared" si="260"/>
        <v>0</v>
      </c>
      <c r="GR791" s="759">
        <f t="shared" si="260"/>
        <v>0</v>
      </c>
      <c r="GS791" s="759">
        <f t="shared" si="260"/>
        <v>0</v>
      </c>
      <c r="GT791" s="759">
        <f t="shared" si="260"/>
        <v>0</v>
      </c>
      <c r="GU791" s="759">
        <f t="shared" si="260"/>
        <v>0</v>
      </c>
      <c r="GV791" s="759">
        <f t="shared" si="260"/>
        <v>0</v>
      </c>
      <c r="GW791" s="759">
        <f t="shared" si="260"/>
        <v>0</v>
      </c>
      <c r="GX791" s="759">
        <f t="shared" si="260"/>
        <v>0</v>
      </c>
      <c r="GY791" s="759">
        <f t="shared" si="260"/>
        <v>0</v>
      </c>
      <c r="GZ791" s="759">
        <f t="shared" si="260"/>
        <v>0</v>
      </c>
      <c r="HA791" s="759">
        <f t="shared" si="260"/>
        <v>0</v>
      </c>
      <c r="HB791" s="759">
        <f t="shared" si="260"/>
        <v>0</v>
      </c>
      <c r="HC791" s="759">
        <f t="shared" si="260"/>
        <v>0</v>
      </c>
      <c r="HD791" s="759">
        <f t="shared" si="260"/>
        <v>0</v>
      </c>
      <c r="HE791" s="759">
        <f t="shared" si="260"/>
        <v>0</v>
      </c>
      <c r="HF791" s="759">
        <f t="shared" si="260"/>
        <v>0</v>
      </c>
      <c r="HG791" s="759">
        <f t="shared" ref="HG791:JR791" si="261">SUM(HG753:HG790)</f>
        <v>0</v>
      </c>
      <c r="HH791" s="759">
        <f t="shared" si="261"/>
        <v>0</v>
      </c>
      <c r="HI791" s="759">
        <f t="shared" si="261"/>
        <v>0</v>
      </c>
      <c r="HJ791" s="759">
        <f t="shared" si="261"/>
        <v>0</v>
      </c>
      <c r="HK791" s="759">
        <f t="shared" si="261"/>
        <v>0</v>
      </c>
      <c r="HL791" s="759">
        <f t="shared" si="261"/>
        <v>0</v>
      </c>
      <c r="HM791" s="759">
        <f t="shared" si="261"/>
        <v>0</v>
      </c>
      <c r="HN791" s="759">
        <f t="shared" si="261"/>
        <v>0</v>
      </c>
      <c r="HO791" s="759">
        <f t="shared" si="261"/>
        <v>0</v>
      </c>
      <c r="HP791" s="759">
        <f t="shared" si="261"/>
        <v>0</v>
      </c>
      <c r="HQ791" s="759">
        <f t="shared" si="261"/>
        <v>0</v>
      </c>
      <c r="HR791" s="759">
        <f t="shared" si="261"/>
        <v>0</v>
      </c>
      <c r="HS791" s="759">
        <f t="shared" si="261"/>
        <v>0</v>
      </c>
      <c r="HT791" s="759">
        <f t="shared" si="261"/>
        <v>3</v>
      </c>
      <c r="HU791" s="759">
        <f t="shared" si="261"/>
        <v>205</v>
      </c>
      <c r="HV791" s="759">
        <f t="shared" si="261"/>
        <v>0</v>
      </c>
      <c r="HW791" s="759">
        <f t="shared" si="261"/>
        <v>0</v>
      </c>
      <c r="HX791" s="759">
        <f t="shared" si="261"/>
        <v>0</v>
      </c>
      <c r="HY791" s="759">
        <f t="shared" si="261"/>
        <v>0</v>
      </c>
      <c r="HZ791" s="759">
        <f t="shared" si="261"/>
        <v>0</v>
      </c>
      <c r="IA791" s="759">
        <f t="shared" si="261"/>
        <v>0</v>
      </c>
      <c r="IB791" s="759">
        <f t="shared" si="261"/>
        <v>0</v>
      </c>
      <c r="IC791" s="759">
        <f t="shared" si="261"/>
        <v>0</v>
      </c>
      <c r="ID791" s="759">
        <f t="shared" si="261"/>
        <v>0</v>
      </c>
      <c r="IE791" s="759">
        <f t="shared" si="261"/>
        <v>0</v>
      </c>
      <c r="IF791" s="759">
        <f t="shared" si="261"/>
        <v>0</v>
      </c>
      <c r="IG791" s="759">
        <f t="shared" si="261"/>
        <v>0</v>
      </c>
      <c r="IH791" s="759">
        <f t="shared" si="261"/>
        <v>0</v>
      </c>
      <c r="II791" s="759">
        <f t="shared" si="261"/>
        <v>0</v>
      </c>
      <c r="IJ791" s="759">
        <f t="shared" si="261"/>
        <v>0</v>
      </c>
      <c r="IK791" s="759">
        <f t="shared" si="261"/>
        <v>0</v>
      </c>
      <c r="IL791" s="759">
        <f t="shared" si="261"/>
        <v>0</v>
      </c>
      <c r="IM791" s="759">
        <f t="shared" si="261"/>
        <v>0</v>
      </c>
      <c r="IN791" s="759">
        <f t="shared" si="261"/>
        <v>0</v>
      </c>
      <c r="IO791" s="759">
        <f t="shared" si="261"/>
        <v>0</v>
      </c>
      <c r="IP791" s="759">
        <f t="shared" si="261"/>
        <v>0</v>
      </c>
      <c r="IQ791" s="759">
        <f t="shared" si="261"/>
        <v>0</v>
      </c>
      <c r="IR791" s="759">
        <f t="shared" si="261"/>
        <v>0</v>
      </c>
      <c r="IS791" s="759">
        <f t="shared" si="261"/>
        <v>0</v>
      </c>
      <c r="IT791" s="759">
        <f t="shared" si="261"/>
        <v>0</v>
      </c>
      <c r="IU791" s="759">
        <f t="shared" si="261"/>
        <v>0</v>
      </c>
      <c r="IV791" s="759">
        <f t="shared" si="261"/>
        <v>0</v>
      </c>
      <c r="IW791" s="759">
        <f t="shared" si="261"/>
        <v>0</v>
      </c>
      <c r="IX791" s="759">
        <f t="shared" si="261"/>
        <v>0</v>
      </c>
      <c r="IY791" s="759">
        <f t="shared" si="261"/>
        <v>0</v>
      </c>
      <c r="IZ791" s="759">
        <f t="shared" si="261"/>
        <v>0</v>
      </c>
      <c r="JA791" s="759">
        <f t="shared" si="261"/>
        <v>0</v>
      </c>
      <c r="JB791" s="759">
        <f t="shared" si="261"/>
        <v>0</v>
      </c>
      <c r="JC791" s="759">
        <f t="shared" si="261"/>
        <v>3</v>
      </c>
      <c r="JD791" s="759">
        <f t="shared" si="261"/>
        <v>205</v>
      </c>
      <c r="JE791" s="759">
        <f t="shared" si="261"/>
        <v>0</v>
      </c>
      <c r="JF791" s="759">
        <f t="shared" si="261"/>
        <v>0</v>
      </c>
      <c r="JG791" s="759">
        <f t="shared" si="261"/>
        <v>0</v>
      </c>
      <c r="JH791" s="759">
        <f t="shared" si="261"/>
        <v>0</v>
      </c>
      <c r="JI791" s="759">
        <f t="shared" si="261"/>
        <v>0</v>
      </c>
      <c r="JJ791" s="759">
        <f t="shared" si="261"/>
        <v>0</v>
      </c>
      <c r="JK791" s="759">
        <f t="shared" si="261"/>
        <v>0</v>
      </c>
      <c r="JL791" s="759">
        <f t="shared" si="261"/>
        <v>0</v>
      </c>
      <c r="JM791" s="759">
        <f t="shared" si="261"/>
        <v>0</v>
      </c>
      <c r="JN791" s="759">
        <f t="shared" si="261"/>
        <v>0</v>
      </c>
      <c r="JO791" s="759">
        <f t="shared" si="261"/>
        <v>0</v>
      </c>
      <c r="JP791" s="759">
        <f t="shared" si="261"/>
        <v>0</v>
      </c>
      <c r="JQ791" s="759">
        <f t="shared" si="261"/>
        <v>0</v>
      </c>
      <c r="JR791" s="759">
        <f t="shared" si="261"/>
        <v>0</v>
      </c>
    </row>
    <row r="792" spans="1:278" ht="12" customHeight="1">
      <c r="B792" s="533"/>
      <c r="D792" s="1557"/>
      <c r="E792" s="175"/>
      <c r="F792" s="175"/>
      <c r="G792" s="757"/>
      <c r="H792" s="757"/>
      <c r="I792" s="757"/>
      <c r="J792" s="757"/>
      <c r="K792" s="196" t="s">
        <v>846</v>
      </c>
      <c r="L792" s="175">
        <f>L791*12</f>
        <v>2491500</v>
      </c>
      <c r="M792" s="533"/>
      <c r="N792" s="533"/>
      <c r="O792" s="533"/>
      <c r="P792" s="533"/>
      <c r="Q792" s="533"/>
      <c r="R792" s="533"/>
      <c r="S792" s="533"/>
      <c r="T792" s="533"/>
      <c r="U792" s="533"/>
      <c r="V792" s="759"/>
      <c r="W792" s="759"/>
      <c r="X792" s="759"/>
      <c r="Y792" s="759"/>
      <c r="Z792" s="759"/>
      <c r="AA792" s="759"/>
      <c r="AB792" s="759"/>
      <c r="AC792" s="759"/>
      <c r="AD792" s="759"/>
      <c r="AE792" s="759"/>
      <c r="AF792" s="759"/>
      <c r="AG792" s="759"/>
      <c r="AH792" s="759"/>
      <c r="AI792" s="759"/>
      <c r="AJ792" s="759"/>
      <c r="AK792" s="759"/>
      <c r="AL792" s="759"/>
      <c r="AM792" s="759"/>
      <c r="AN792" s="759"/>
      <c r="AO792" s="759"/>
      <c r="AP792" s="759"/>
      <c r="AQ792" s="759"/>
      <c r="AR792" s="759"/>
      <c r="AS792" s="759"/>
      <c r="AT792" s="759"/>
      <c r="AU792" s="759"/>
      <c r="AV792" s="759"/>
      <c r="AW792" s="759"/>
      <c r="AX792" s="759"/>
      <c r="AY792" s="759"/>
      <c r="AZ792" s="759"/>
      <c r="BA792" s="759"/>
      <c r="BB792" s="759"/>
      <c r="BC792" s="759"/>
      <c r="BD792" s="759"/>
      <c r="BE792" s="759"/>
      <c r="BF792" s="759"/>
      <c r="BG792" s="759"/>
      <c r="BH792" s="759"/>
      <c r="BI792" s="759"/>
      <c r="BJ792" s="759"/>
      <c r="BK792" s="759"/>
      <c r="BL792" s="759"/>
      <c r="BM792" s="759"/>
      <c r="BN792" s="759"/>
      <c r="BO792" s="759"/>
      <c r="BP792" s="759"/>
      <c r="BQ792" s="759"/>
      <c r="BR792" s="759"/>
      <c r="BS792" s="759"/>
      <c r="BT792" s="759"/>
      <c r="BU792" s="759"/>
      <c r="BV792" s="759"/>
      <c r="BW792" s="759"/>
      <c r="BX792" s="759"/>
      <c r="BY792" s="759"/>
      <c r="BZ792" s="759"/>
      <c r="CA792" s="759"/>
      <c r="CB792" s="759"/>
      <c r="CC792" s="759"/>
      <c r="CD792" s="759"/>
      <c r="CE792" s="759"/>
      <c r="CF792" s="759"/>
      <c r="CG792" s="759"/>
      <c r="CH792" s="759"/>
      <c r="CI792" s="759"/>
      <c r="CJ792" s="759"/>
      <c r="CK792" s="759"/>
      <c r="CL792" s="759"/>
      <c r="CM792" s="759"/>
      <c r="CN792" s="759"/>
      <c r="CO792" s="759"/>
      <c r="CP792" s="759"/>
      <c r="CQ792" s="759"/>
      <c r="CR792" s="759"/>
      <c r="CS792" s="759"/>
      <c r="CT792" s="759"/>
      <c r="CU792" s="759"/>
      <c r="CV792" s="759"/>
      <c r="CW792" s="759"/>
      <c r="CX792" s="759"/>
      <c r="CY792" s="759"/>
      <c r="CZ792" s="759"/>
      <c r="DA792" s="759"/>
      <c r="DB792" s="759"/>
      <c r="DC792" s="759"/>
      <c r="DD792" s="759"/>
      <c r="DE792" s="759"/>
      <c r="DF792" s="759"/>
      <c r="DG792" s="759"/>
      <c r="DH792" s="759"/>
      <c r="DI792" s="759"/>
      <c r="DJ792" s="759"/>
      <c r="DK792" s="759"/>
      <c r="DL792" s="759"/>
      <c r="DM792" s="759"/>
      <c r="DN792" s="759"/>
      <c r="DO792" s="759"/>
      <c r="DP792" s="759"/>
      <c r="DQ792" s="759"/>
      <c r="DR792" s="759"/>
      <c r="DS792" s="759"/>
      <c r="DT792" s="759"/>
      <c r="DU792" s="759"/>
      <c r="DV792" s="759"/>
      <c r="DW792" s="759"/>
      <c r="DX792" s="759"/>
      <c r="DY792" s="759"/>
      <c r="DZ792" s="759"/>
      <c r="EA792" s="759"/>
      <c r="EB792" s="759"/>
      <c r="EC792" s="759"/>
      <c r="ED792" s="759"/>
      <c r="EE792" s="759"/>
      <c r="EF792" s="759"/>
      <c r="EG792" s="759"/>
      <c r="EH792" s="759"/>
      <c r="EI792" s="759"/>
      <c r="EJ792" s="759"/>
      <c r="EK792" s="759"/>
      <c r="EL792" s="759"/>
      <c r="EM792" s="759"/>
      <c r="EN792" s="759"/>
      <c r="EO792" s="759"/>
      <c r="EP792" s="759"/>
      <c r="EQ792" s="759"/>
      <c r="ER792" s="759"/>
      <c r="ES792" s="759"/>
      <c r="ET792" s="759"/>
      <c r="EU792" s="759"/>
      <c r="EV792" s="759"/>
      <c r="EW792" s="759"/>
      <c r="EX792" s="759"/>
      <c r="EY792" s="759"/>
      <c r="EZ792" s="759"/>
      <c r="FA792" s="759"/>
      <c r="FB792" s="759"/>
      <c r="FC792" s="759"/>
      <c r="FD792" s="759"/>
      <c r="FE792" s="759"/>
      <c r="FF792" s="759"/>
      <c r="FG792" s="759"/>
      <c r="FH792" s="759"/>
      <c r="FI792" s="759"/>
      <c r="FJ792" s="759"/>
      <c r="FK792" s="759"/>
      <c r="FL792" s="759"/>
      <c r="FM792" s="759"/>
      <c r="FN792" s="759"/>
      <c r="FO792" s="759"/>
      <c r="FP792" s="759"/>
      <c r="FQ792" s="759"/>
      <c r="FR792" s="759"/>
      <c r="FS792" s="759"/>
      <c r="FT792" s="759"/>
      <c r="FU792" s="759"/>
      <c r="FV792" s="759"/>
      <c r="FW792" s="759"/>
      <c r="FX792" s="759"/>
      <c r="FY792" s="759"/>
      <c r="FZ792" s="759"/>
      <c r="GA792" s="759"/>
      <c r="GB792" s="759"/>
      <c r="GC792" s="759"/>
      <c r="GD792" s="759"/>
      <c r="GE792" s="759"/>
      <c r="GF792" s="759"/>
      <c r="GG792" s="759"/>
      <c r="GH792" s="759"/>
      <c r="GI792" s="759"/>
      <c r="GJ792" s="759"/>
      <c r="GK792" s="759"/>
      <c r="GL792" s="759"/>
      <c r="GM792" s="759"/>
      <c r="GN792" s="759"/>
      <c r="GO792" s="759"/>
      <c r="GP792" s="759"/>
      <c r="GQ792" s="759"/>
      <c r="GR792" s="759"/>
      <c r="GS792" s="759"/>
      <c r="GT792" s="759"/>
      <c r="GU792" s="759"/>
      <c r="GV792" s="759"/>
      <c r="GW792" s="759"/>
      <c r="GX792" s="759"/>
      <c r="GY792" s="759"/>
      <c r="GZ792" s="759"/>
      <c r="HA792" s="759"/>
      <c r="HB792" s="759"/>
      <c r="HC792" s="759"/>
      <c r="HD792" s="759"/>
      <c r="HE792" s="759"/>
      <c r="HF792" s="759"/>
      <c r="HG792" s="759"/>
      <c r="HH792" s="759"/>
      <c r="HI792" s="759"/>
      <c r="HJ792" s="759"/>
      <c r="HK792" s="759"/>
      <c r="HL792" s="759"/>
      <c r="HM792" s="759"/>
      <c r="HN792" s="759"/>
      <c r="HO792" s="759"/>
      <c r="HP792" s="759"/>
      <c r="HQ792" s="759"/>
      <c r="HR792" s="759"/>
      <c r="HS792" s="759"/>
      <c r="HT792" s="759"/>
      <c r="HU792" s="759"/>
      <c r="HV792" s="759"/>
      <c r="HW792" s="759"/>
      <c r="HX792" s="759"/>
      <c r="HY792" s="759"/>
      <c r="HZ792" s="759"/>
      <c r="IA792" s="759"/>
      <c r="IB792" s="759"/>
      <c r="IC792" s="759"/>
      <c r="ID792" s="759"/>
      <c r="IE792" s="759"/>
      <c r="IF792" s="759"/>
      <c r="IG792" s="759"/>
      <c r="IH792" s="759"/>
      <c r="II792" s="759"/>
      <c r="IJ792" s="759"/>
      <c r="IK792" s="759"/>
      <c r="IL792" s="759"/>
      <c r="IM792" s="759"/>
      <c r="IN792" s="759"/>
      <c r="IO792" s="759"/>
      <c r="IP792" s="759"/>
      <c r="IQ792" s="759"/>
      <c r="IR792" s="759"/>
      <c r="IS792" s="759"/>
      <c r="IT792" s="759"/>
      <c r="IU792" s="759"/>
      <c r="IV792" s="759"/>
      <c r="IW792" s="759"/>
      <c r="IX792" s="759"/>
      <c r="IY792" s="759"/>
      <c r="IZ792" s="759"/>
      <c r="JA792" s="759"/>
      <c r="JB792" s="759"/>
    </row>
    <row r="793" spans="1:278" ht="3" customHeight="1">
      <c r="A793" s="54"/>
      <c r="B793" s="533"/>
      <c r="D793" s="1557"/>
      <c r="E793" s="175"/>
      <c r="F793" s="175"/>
      <c r="G793" s="757"/>
      <c r="H793" s="757"/>
      <c r="I793" s="757"/>
      <c r="J793" s="757"/>
      <c r="K793" s="1557"/>
      <c r="L793" s="175"/>
      <c r="M793" s="533"/>
      <c r="N793" s="533"/>
      <c r="O793" s="533"/>
      <c r="P793" s="533"/>
      <c r="Q793" s="533"/>
      <c r="R793" s="533"/>
      <c r="S793" s="533"/>
      <c r="T793" s="533"/>
      <c r="U793" s="533"/>
      <c r="V793" s="759"/>
      <c r="W793" s="759"/>
      <c r="X793" s="759"/>
      <c r="Y793" s="759"/>
      <c r="Z793" s="759"/>
      <c r="AA793" s="759"/>
      <c r="AB793" s="759"/>
      <c r="AC793" s="759"/>
      <c r="AD793" s="759"/>
      <c r="AE793" s="759"/>
      <c r="AF793" s="759"/>
      <c r="AG793" s="759"/>
      <c r="AH793" s="759"/>
      <c r="AI793" s="759"/>
      <c r="AJ793" s="759"/>
      <c r="AK793" s="759"/>
      <c r="AL793" s="759"/>
      <c r="AM793" s="759"/>
      <c r="AN793" s="759"/>
      <c r="AO793" s="759"/>
      <c r="AP793" s="759"/>
      <c r="AQ793" s="759"/>
      <c r="AR793" s="759"/>
      <c r="AS793" s="759"/>
      <c r="AT793" s="759"/>
      <c r="AU793" s="759"/>
      <c r="AV793" s="759"/>
      <c r="AW793" s="759"/>
      <c r="AX793" s="759"/>
      <c r="AY793" s="759"/>
      <c r="AZ793" s="759"/>
      <c r="BA793" s="759"/>
      <c r="BB793" s="759"/>
      <c r="BC793" s="759"/>
      <c r="BD793" s="759"/>
      <c r="BE793" s="759"/>
      <c r="BF793" s="759"/>
      <c r="BG793" s="759"/>
      <c r="BH793" s="759"/>
      <c r="BI793" s="759"/>
      <c r="BJ793" s="759"/>
      <c r="BK793" s="759"/>
      <c r="BL793" s="759"/>
      <c r="BM793" s="759"/>
      <c r="BN793" s="759"/>
      <c r="BO793" s="759"/>
      <c r="BP793" s="759"/>
      <c r="BQ793" s="759"/>
      <c r="BR793" s="759"/>
      <c r="BS793" s="759"/>
      <c r="BT793" s="759"/>
      <c r="BU793" s="759"/>
      <c r="BV793" s="759"/>
      <c r="BW793" s="759"/>
      <c r="BX793" s="759"/>
      <c r="BY793" s="759"/>
      <c r="BZ793" s="759"/>
      <c r="CA793" s="759"/>
      <c r="CB793" s="759"/>
      <c r="CC793" s="759"/>
      <c r="CD793" s="759"/>
      <c r="CE793" s="759"/>
      <c r="CF793" s="759"/>
      <c r="CG793" s="759"/>
      <c r="CH793" s="759"/>
      <c r="CI793" s="759"/>
      <c r="CJ793" s="759"/>
      <c r="CK793" s="759"/>
      <c r="CL793" s="759"/>
      <c r="CM793" s="759"/>
      <c r="CN793" s="759"/>
      <c r="CO793" s="759"/>
      <c r="CP793" s="759"/>
      <c r="CQ793" s="759"/>
      <c r="CR793" s="759"/>
      <c r="CS793" s="759"/>
      <c r="CT793" s="759"/>
      <c r="CU793" s="759"/>
      <c r="CV793" s="759"/>
      <c r="CW793" s="759"/>
      <c r="CX793" s="759"/>
      <c r="CY793" s="759"/>
      <c r="CZ793" s="759"/>
      <c r="DA793" s="759"/>
      <c r="DB793" s="759"/>
      <c r="DC793" s="759"/>
      <c r="DD793" s="759"/>
      <c r="DE793" s="759"/>
      <c r="DF793" s="759"/>
      <c r="DG793" s="759"/>
      <c r="DH793" s="759"/>
      <c r="DI793" s="759"/>
      <c r="DJ793" s="759"/>
      <c r="DK793" s="759"/>
      <c r="DL793" s="759"/>
      <c r="DM793" s="759"/>
      <c r="DN793" s="759"/>
      <c r="DO793" s="759"/>
      <c r="DP793" s="759"/>
      <c r="DQ793" s="759"/>
      <c r="DR793" s="759"/>
      <c r="DS793" s="759"/>
      <c r="DT793" s="759"/>
      <c r="DU793" s="759"/>
      <c r="DV793" s="759"/>
      <c r="DW793" s="759"/>
      <c r="DX793" s="759"/>
      <c r="DY793" s="759"/>
      <c r="DZ793" s="759"/>
      <c r="EA793" s="759"/>
      <c r="EB793" s="759"/>
      <c r="EC793" s="759"/>
      <c r="ED793" s="759"/>
      <c r="EE793" s="759"/>
      <c r="EF793" s="759"/>
      <c r="EG793" s="759"/>
      <c r="EH793" s="759"/>
      <c r="EI793" s="759"/>
      <c r="EJ793" s="759"/>
      <c r="EK793" s="759"/>
      <c r="EL793" s="759"/>
      <c r="EM793" s="759"/>
      <c r="EN793" s="759"/>
      <c r="EO793" s="759"/>
      <c r="EP793" s="759"/>
      <c r="EQ793" s="759"/>
      <c r="ER793" s="759"/>
      <c r="ES793" s="759"/>
      <c r="ET793" s="759"/>
      <c r="EU793" s="759"/>
      <c r="EV793" s="759"/>
      <c r="EW793" s="759"/>
      <c r="EX793" s="759"/>
      <c r="EY793" s="759"/>
      <c r="EZ793" s="759"/>
      <c r="FA793" s="759"/>
      <c r="FB793" s="759"/>
      <c r="FC793" s="759"/>
      <c r="FD793" s="759"/>
      <c r="FE793" s="759"/>
      <c r="FF793" s="759"/>
      <c r="FG793" s="759"/>
      <c r="FH793" s="759"/>
      <c r="FI793" s="759"/>
      <c r="FJ793" s="759"/>
      <c r="FK793" s="759"/>
      <c r="FL793" s="759"/>
      <c r="FM793" s="759"/>
      <c r="FN793" s="759"/>
      <c r="FO793" s="759"/>
      <c r="FP793" s="759"/>
      <c r="FQ793" s="759"/>
      <c r="FR793" s="759"/>
      <c r="FS793" s="759"/>
      <c r="FT793" s="759"/>
      <c r="FU793" s="759"/>
      <c r="FV793" s="759"/>
      <c r="FW793" s="759"/>
      <c r="FX793" s="759"/>
      <c r="FY793" s="759"/>
      <c r="FZ793" s="759"/>
      <c r="GA793" s="759"/>
      <c r="GB793" s="759"/>
      <c r="GC793" s="759"/>
      <c r="GD793" s="759"/>
      <c r="GE793" s="759"/>
      <c r="GF793" s="759"/>
      <c r="GG793" s="759"/>
      <c r="GH793" s="759"/>
      <c r="GI793" s="759"/>
      <c r="GJ793" s="759"/>
      <c r="GK793" s="759"/>
      <c r="GL793" s="759"/>
      <c r="GM793" s="759"/>
      <c r="GN793" s="759"/>
      <c r="GO793" s="759"/>
      <c r="GP793" s="759"/>
      <c r="GQ793" s="759"/>
      <c r="GR793" s="759"/>
      <c r="GS793" s="759"/>
      <c r="GT793" s="759"/>
      <c r="GU793" s="759"/>
      <c r="GV793" s="759"/>
      <c r="GW793" s="759"/>
      <c r="GX793" s="759"/>
      <c r="GY793" s="759"/>
      <c r="GZ793" s="759"/>
      <c r="HA793" s="759"/>
      <c r="HB793" s="759"/>
      <c r="HC793" s="759"/>
      <c r="HD793" s="759"/>
      <c r="HE793" s="759"/>
      <c r="HF793" s="759"/>
      <c r="HG793" s="759"/>
      <c r="HH793" s="759"/>
      <c r="HI793" s="759"/>
      <c r="HJ793" s="759"/>
      <c r="HK793" s="759"/>
      <c r="HL793" s="759"/>
      <c r="HM793" s="759"/>
      <c r="HN793" s="759"/>
      <c r="HO793" s="759"/>
      <c r="HP793" s="759"/>
      <c r="HQ793" s="759"/>
      <c r="HR793" s="759"/>
      <c r="HS793" s="759"/>
      <c r="HT793" s="759"/>
      <c r="HU793" s="759"/>
      <c r="HV793" s="759"/>
      <c r="HW793" s="759"/>
      <c r="HX793" s="759"/>
      <c r="HY793" s="759"/>
      <c r="HZ793" s="759"/>
      <c r="IA793" s="759"/>
      <c r="IB793" s="759"/>
      <c r="IC793" s="759"/>
      <c r="ID793" s="759"/>
      <c r="IE793" s="759"/>
      <c r="IF793" s="759"/>
      <c r="IG793" s="759"/>
      <c r="IH793" s="759"/>
      <c r="II793" s="759"/>
      <c r="IJ793" s="759"/>
      <c r="IK793" s="759"/>
      <c r="IL793" s="759"/>
      <c r="IM793" s="759"/>
      <c r="IN793" s="759"/>
      <c r="IO793" s="759"/>
      <c r="IP793" s="759"/>
      <c r="IQ793" s="759"/>
      <c r="IR793" s="759"/>
      <c r="IS793" s="759"/>
      <c r="IT793" s="759"/>
      <c r="IU793" s="759"/>
      <c r="IV793" s="759"/>
      <c r="IW793" s="759"/>
      <c r="IX793" s="759"/>
      <c r="IY793" s="759"/>
      <c r="IZ793" s="759"/>
      <c r="JA793" s="759"/>
      <c r="JB793" s="759"/>
    </row>
    <row r="794" spans="1:278" ht="12" customHeight="1">
      <c r="A794" s="1558" t="s">
        <v>4232</v>
      </c>
      <c r="B794" s="1511"/>
      <c r="C794" s="1511"/>
      <c r="D794" s="1511"/>
      <c r="E794" s="1511"/>
      <c r="F794" s="1511"/>
      <c r="G794" s="1511"/>
      <c r="H794" s="1511"/>
      <c r="I794" s="1511"/>
      <c r="J794" s="1511"/>
      <c r="K794" s="1511"/>
      <c r="L794" s="1511"/>
      <c r="M794" s="1511"/>
      <c r="N794" s="1511"/>
      <c r="O794" s="1511"/>
      <c r="P794" s="1511"/>
      <c r="Q794" s="1559"/>
      <c r="R794" s="533"/>
      <c r="S794" s="533"/>
      <c r="T794" s="533"/>
      <c r="U794" s="533"/>
      <c r="V794" s="759"/>
      <c r="W794" s="759"/>
      <c r="X794" s="759"/>
      <c r="Y794" s="759"/>
      <c r="Z794" s="759"/>
      <c r="AA794" s="759"/>
      <c r="AB794" s="759"/>
      <c r="AC794" s="759"/>
      <c r="AD794" s="759"/>
      <c r="AE794" s="759"/>
      <c r="AF794" s="759"/>
      <c r="AG794" s="759"/>
      <c r="AH794" s="759"/>
      <c r="AI794" s="759"/>
      <c r="AJ794" s="759"/>
      <c r="AK794" s="759"/>
      <c r="AL794" s="759"/>
      <c r="AM794" s="759"/>
      <c r="AN794" s="759"/>
      <c r="AO794" s="759"/>
      <c r="AP794" s="759"/>
      <c r="AQ794" s="759"/>
      <c r="AR794" s="759"/>
      <c r="AS794" s="759"/>
      <c r="AT794" s="759"/>
      <c r="AU794" s="759"/>
      <c r="AV794" s="759"/>
      <c r="AW794" s="759"/>
      <c r="AX794" s="759"/>
      <c r="AY794" s="759"/>
      <c r="AZ794" s="759"/>
      <c r="BA794" s="759"/>
      <c r="BB794" s="759"/>
      <c r="BC794" s="759"/>
      <c r="BD794" s="759"/>
      <c r="BE794" s="759"/>
      <c r="BF794" s="759"/>
      <c r="BG794" s="759"/>
      <c r="BH794" s="759"/>
      <c r="BI794" s="759"/>
      <c r="BJ794" s="759"/>
      <c r="BK794" s="759"/>
      <c r="BL794" s="759"/>
      <c r="BM794" s="759"/>
      <c r="BN794" s="759"/>
      <c r="BO794" s="759"/>
      <c r="BP794" s="759"/>
      <c r="BQ794" s="759"/>
      <c r="BR794" s="759"/>
      <c r="BS794" s="759"/>
      <c r="BT794" s="759"/>
      <c r="BU794" s="759"/>
      <c r="BV794" s="759"/>
      <c r="BW794" s="759"/>
      <c r="BX794" s="759"/>
      <c r="BY794" s="759"/>
      <c r="BZ794" s="759"/>
      <c r="CA794" s="759"/>
      <c r="CB794" s="759"/>
      <c r="CC794" s="759"/>
      <c r="CD794" s="759"/>
      <c r="CE794" s="759"/>
      <c r="CF794" s="759"/>
      <c r="CG794" s="759"/>
      <c r="CH794" s="759"/>
      <c r="CI794" s="759"/>
      <c r="CJ794" s="759"/>
      <c r="CK794" s="759"/>
      <c r="CL794" s="759"/>
      <c r="CM794" s="759"/>
      <c r="CN794" s="759"/>
      <c r="CO794" s="759"/>
      <c r="CP794" s="759"/>
      <c r="CQ794" s="759"/>
      <c r="CR794" s="759"/>
      <c r="CS794" s="759"/>
      <c r="CT794" s="759"/>
      <c r="CU794" s="759"/>
      <c r="CV794" s="759"/>
      <c r="CW794" s="759"/>
      <c r="CX794" s="759"/>
      <c r="CY794" s="759"/>
      <c r="CZ794" s="759"/>
      <c r="DA794" s="759"/>
      <c r="DB794" s="759"/>
      <c r="DC794" s="759"/>
      <c r="DD794" s="759"/>
      <c r="DE794" s="759"/>
      <c r="DF794" s="759"/>
      <c r="DG794" s="759"/>
      <c r="DH794" s="759"/>
      <c r="DI794" s="759"/>
      <c r="DJ794" s="759"/>
      <c r="DK794" s="759"/>
      <c r="DL794" s="759"/>
      <c r="DM794" s="759"/>
      <c r="DN794" s="759"/>
      <c r="DO794" s="759"/>
      <c r="DP794" s="759"/>
      <c r="DQ794" s="759"/>
      <c r="DR794" s="759"/>
      <c r="DS794" s="759"/>
      <c r="DT794" s="759"/>
      <c r="DU794" s="759"/>
      <c r="DV794" s="759"/>
      <c r="DW794" s="759"/>
      <c r="DX794" s="759"/>
      <c r="DY794" s="759"/>
      <c r="DZ794" s="759"/>
      <c r="EA794" s="759"/>
      <c r="EB794" s="759"/>
      <c r="EC794" s="759"/>
      <c r="ED794" s="759"/>
      <c r="EE794" s="759"/>
      <c r="EF794" s="759"/>
      <c r="EG794" s="759"/>
      <c r="EH794" s="759"/>
      <c r="EI794" s="759"/>
      <c r="EJ794" s="759"/>
      <c r="EK794" s="759"/>
      <c r="EL794" s="759"/>
      <c r="EM794" s="759"/>
      <c r="EN794" s="759"/>
      <c r="EO794" s="759"/>
      <c r="EP794" s="759"/>
      <c r="EQ794" s="759"/>
      <c r="ER794" s="759"/>
      <c r="ES794" s="759"/>
      <c r="ET794" s="759"/>
      <c r="EU794" s="759"/>
      <c r="EV794" s="759"/>
      <c r="EW794" s="759"/>
      <c r="EX794" s="759"/>
      <c r="EY794" s="759"/>
      <c r="EZ794" s="759"/>
      <c r="FA794" s="759"/>
      <c r="FB794" s="759"/>
      <c r="FC794" s="759"/>
      <c r="FD794" s="759"/>
      <c r="FE794" s="759"/>
      <c r="FF794" s="759"/>
      <c r="FG794" s="759"/>
      <c r="FH794" s="759"/>
      <c r="FI794" s="759"/>
      <c r="FJ794" s="759"/>
      <c r="FK794" s="759"/>
      <c r="FL794" s="759"/>
      <c r="FM794" s="759"/>
      <c r="FN794" s="759"/>
      <c r="FO794" s="759"/>
      <c r="FP794" s="759"/>
      <c r="FQ794" s="759"/>
      <c r="FR794" s="759"/>
      <c r="FS794" s="759"/>
      <c r="FT794" s="759"/>
      <c r="FU794" s="759"/>
      <c r="FV794" s="759"/>
      <c r="FW794" s="759"/>
      <c r="FX794" s="759"/>
      <c r="FY794" s="759"/>
      <c r="FZ794" s="759"/>
      <c r="GA794" s="759"/>
      <c r="GB794" s="759"/>
      <c r="GC794" s="759"/>
      <c r="GD794" s="759"/>
      <c r="GE794" s="759"/>
      <c r="GF794" s="759"/>
      <c r="GG794" s="759"/>
      <c r="GH794" s="759"/>
      <c r="GI794" s="759"/>
      <c r="GJ794" s="759"/>
      <c r="GK794" s="759"/>
      <c r="GL794" s="759"/>
      <c r="GM794" s="759"/>
      <c r="GN794" s="759"/>
      <c r="GO794" s="759"/>
      <c r="GP794" s="759"/>
      <c r="GQ794" s="759"/>
      <c r="GR794" s="759"/>
      <c r="GS794" s="759"/>
      <c r="GT794" s="759"/>
      <c r="GU794" s="759"/>
      <c r="GV794" s="759"/>
      <c r="GW794" s="759"/>
      <c r="GX794" s="759"/>
      <c r="GY794" s="759"/>
      <c r="GZ794" s="759"/>
      <c r="HA794" s="759"/>
      <c r="HB794" s="759"/>
      <c r="HC794" s="759"/>
      <c r="HD794" s="759"/>
      <c r="HE794" s="759"/>
      <c r="HF794" s="759"/>
      <c r="HG794" s="759"/>
      <c r="HH794" s="759"/>
      <c r="HI794" s="759"/>
      <c r="HJ794" s="759"/>
      <c r="HK794" s="759"/>
      <c r="HL794" s="759"/>
      <c r="HM794" s="759"/>
      <c r="HN794" s="759"/>
      <c r="HO794" s="759"/>
      <c r="HP794" s="759"/>
      <c r="HQ794" s="759"/>
      <c r="HR794" s="759"/>
      <c r="HS794" s="759"/>
      <c r="HT794" s="759"/>
      <c r="HU794" s="759"/>
      <c r="HV794" s="759"/>
      <c r="HW794" s="759"/>
      <c r="HX794" s="759"/>
      <c r="HY794" s="759"/>
      <c r="HZ794" s="759"/>
      <c r="IA794" s="759"/>
      <c r="IB794" s="759"/>
      <c r="IC794" s="759"/>
      <c r="ID794" s="759"/>
      <c r="IE794" s="759"/>
      <c r="IF794" s="759"/>
      <c r="IG794" s="759"/>
      <c r="IH794" s="759"/>
      <c r="II794" s="759"/>
      <c r="IJ794" s="759"/>
      <c r="IK794" s="759"/>
      <c r="IL794" s="759"/>
      <c r="IM794" s="759"/>
      <c r="IN794" s="759"/>
      <c r="IO794" s="759"/>
      <c r="IP794" s="759"/>
      <c r="IQ794" s="759"/>
      <c r="IR794" s="759"/>
      <c r="IS794" s="759"/>
      <c r="IT794" s="759"/>
      <c r="IU794" s="759"/>
      <c r="IV794" s="759"/>
      <c r="IW794" s="759"/>
      <c r="IX794" s="759"/>
      <c r="IY794" s="759"/>
      <c r="IZ794" s="759"/>
      <c r="JA794" s="759"/>
      <c r="JB794" s="759"/>
    </row>
    <row r="795" spans="1:278" ht="12" customHeight="1">
      <c r="A795" s="1511"/>
      <c r="B795" s="1511"/>
      <c r="C795" s="1511"/>
      <c r="D795" s="1511"/>
      <c r="E795" s="1511"/>
      <c r="F795" s="1511"/>
      <c r="G795" s="1511"/>
      <c r="H795" s="1511"/>
      <c r="I795" s="1511"/>
      <c r="J795" s="1511"/>
      <c r="K795" s="1511"/>
      <c r="L795" s="1511"/>
      <c r="M795" s="1511"/>
      <c r="N795" s="1511"/>
      <c r="O795" s="1511"/>
      <c r="P795" s="1511"/>
      <c r="Q795" s="1559"/>
      <c r="R795" s="533"/>
      <c r="S795" s="533"/>
      <c r="T795" s="533"/>
      <c r="U795" s="533"/>
      <c r="V795" s="759"/>
      <c r="W795" s="759"/>
      <c r="X795" s="759"/>
      <c r="Y795" s="759"/>
      <c r="Z795" s="759"/>
      <c r="AA795" s="759"/>
      <c r="AB795" s="759"/>
      <c r="AC795" s="759"/>
      <c r="AD795" s="759"/>
      <c r="AE795" s="759"/>
      <c r="AF795" s="759"/>
      <c r="AG795" s="759"/>
      <c r="AH795" s="759"/>
      <c r="AI795" s="759"/>
      <c r="AJ795" s="759"/>
      <c r="AK795" s="759"/>
      <c r="AL795" s="759"/>
      <c r="AM795" s="759"/>
      <c r="AN795" s="759"/>
      <c r="AO795" s="759"/>
      <c r="AP795" s="759"/>
      <c r="AQ795" s="759"/>
      <c r="AR795" s="759"/>
      <c r="AS795" s="759"/>
      <c r="AT795" s="759"/>
      <c r="AU795" s="759"/>
      <c r="AV795" s="759"/>
      <c r="AW795" s="759"/>
      <c r="AX795" s="759"/>
      <c r="AY795" s="759"/>
      <c r="AZ795" s="759"/>
      <c r="BA795" s="759"/>
      <c r="BB795" s="759"/>
      <c r="BC795" s="759"/>
      <c r="BD795" s="759"/>
      <c r="BE795" s="759"/>
      <c r="BF795" s="759"/>
      <c r="BG795" s="759"/>
      <c r="BH795" s="759"/>
      <c r="BI795" s="759"/>
      <c r="BJ795" s="759"/>
      <c r="BK795" s="759"/>
      <c r="BL795" s="759"/>
      <c r="BM795" s="759"/>
      <c r="BN795" s="759"/>
      <c r="BO795" s="759"/>
      <c r="BP795" s="759"/>
      <c r="BQ795" s="759"/>
      <c r="BR795" s="759"/>
      <c r="BS795" s="759"/>
      <c r="BT795" s="759"/>
      <c r="BU795" s="759"/>
      <c r="BV795" s="759"/>
      <c r="BW795" s="759"/>
      <c r="BX795" s="759"/>
      <c r="BY795" s="759"/>
      <c r="BZ795" s="759"/>
      <c r="CA795" s="759"/>
      <c r="CB795" s="759"/>
      <c r="CC795" s="759"/>
      <c r="CD795" s="759"/>
      <c r="CE795" s="759"/>
      <c r="CF795" s="759"/>
      <c r="CG795" s="759"/>
      <c r="CH795" s="759"/>
      <c r="CI795" s="759"/>
      <c r="CJ795" s="759"/>
      <c r="CK795" s="759"/>
      <c r="CL795" s="759"/>
      <c r="CM795" s="759"/>
      <c r="CN795" s="759"/>
      <c r="CO795" s="759"/>
      <c r="CP795" s="759"/>
      <c r="CQ795" s="759"/>
      <c r="CR795" s="759"/>
      <c r="CS795" s="759"/>
      <c r="CT795" s="759"/>
      <c r="CU795" s="759"/>
      <c r="CV795" s="759"/>
      <c r="CW795" s="759"/>
      <c r="CX795" s="759"/>
      <c r="CY795" s="759"/>
      <c r="CZ795" s="759"/>
      <c r="DA795" s="759"/>
      <c r="DB795" s="759"/>
      <c r="DC795" s="759"/>
      <c r="DD795" s="759"/>
      <c r="DE795" s="759"/>
      <c r="DF795" s="759"/>
      <c r="DG795" s="759"/>
      <c r="DH795" s="759"/>
      <c r="DI795" s="759"/>
      <c r="DJ795" s="759"/>
      <c r="DK795" s="759"/>
      <c r="DL795" s="759"/>
      <c r="DM795" s="759"/>
      <c r="DN795" s="759"/>
      <c r="DO795" s="759"/>
      <c r="DP795" s="759"/>
      <c r="DQ795" s="759"/>
      <c r="DR795" s="759"/>
      <c r="DS795" s="759"/>
      <c r="DT795" s="759"/>
      <c r="DU795" s="759"/>
      <c r="DV795" s="759"/>
      <c r="DW795" s="759"/>
      <c r="DX795" s="759"/>
      <c r="DY795" s="759"/>
      <c r="DZ795" s="759"/>
      <c r="EA795" s="759"/>
      <c r="EB795" s="759"/>
      <c r="EC795" s="759"/>
      <c r="ED795" s="759"/>
      <c r="EE795" s="759"/>
      <c r="EF795" s="759"/>
      <c r="EG795" s="759"/>
      <c r="EH795" s="759"/>
      <c r="EI795" s="759"/>
      <c r="EJ795" s="759"/>
      <c r="EK795" s="759"/>
      <c r="EL795" s="759"/>
      <c r="EM795" s="759"/>
      <c r="EN795" s="759"/>
      <c r="EO795" s="759"/>
      <c r="EP795" s="759"/>
      <c r="EQ795" s="759"/>
      <c r="ER795" s="759"/>
      <c r="ES795" s="759"/>
      <c r="ET795" s="759"/>
      <c r="EU795" s="759"/>
      <c r="EV795" s="759"/>
      <c r="EW795" s="759"/>
      <c r="EX795" s="759"/>
      <c r="EY795" s="759"/>
      <c r="EZ795" s="759"/>
      <c r="FA795" s="759"/>
      <c r="FB795" s="759"/>
      <c r="FC795" s="759"/>
      <c r="FD795" s="759"/>
      <c r="FE795" s="759"/>
      <c r="FF795" s="759"/>
      <c r="FG795" s="759"/>
      <c r="FH795" s="759"/>
      <c r="FI795" s="759"/>
      <c r="FJ795" s="759"/>
      <c r="FK795" s="759"/>
      <c r="FL795" s="759"/>
      <c r="FM795" s="759"/>
      <c r="FN795" s="759"/>
      <c r="FO795" s="759"/>
      <c r="FP795" s="759"/>
      <c r="FQ795" s="759"/>
      <c r="FR795" s="759"/>
      <c r="FS795" s="759"/>
      <c r="FT795" s="759"/>
      <c r="FU795" s="759"/>
      <c r="FV795" s="759"/>
      <c r="FW795" s="759"/>
      <c r="FX795" s="759"/>
      <c r="FY795" s="759"/>
      <c r="FZ795" s="759"/>
      <c r="GA795" s="759"/>
      <c r="GB795" s="759"/>
      <c r="GC795" s="759"/>
      <c r="GD795" s="759"/>
      <c r="GE795" s="759"/>
      <c r="GF795" s="759"/>
      <c r="GG795" s="759"/>
      <c r="GH795" s="759"/>
      <c r="GI795" s="759"/>
      <c r="GJ795" s="759"/>
      <c r="GK795" s="759"/>
      <c r="GL795" s="759"/>
      <c r="GM795" s="759"/>
      <c r="GN795" s="759"/>
      <c r="GO795" s="759"/>
      <c r="GP795" s="759"/>
      <c r="GQ795" s="759"/>
      <c r="GR795" s="759"/>
      <c r="GS795" s="759"/>
      <c r="GT795" s="759"/>
      <c r="GU795" s="759"/>
      <c r="GV795" s="759"/>
      <c r="GW795" s="759"/>
      <c r="GX795" s="759"/>
      <c r="GY795" s="759"/>
      <c r="GZ795" s="759"/>
      <c r="HA795" s="759"/>
      <c r="HB795" s="759"/>
      <c r="HC795" s="759"/>
      <c r="HD795" s="759"/>
      <c r="HE795" s="759"/>
      <c r="HF795" s="759"/>
      <c r="HG795" s="759"/>
      <c r="HH795" s="759"/>
      <c r="HI795" s="759"/>
      <c r="HJ795" s="759"/>
      <c r="HK795" s="759"/>
      <c r="HL795" s="759"/>
      <c r="HM795" s="759"/>
      <c r="HN795" s="759"/>
      <c r="HO795" s="759"/>
      <c r="HP795" s="759"/>
      <c r="HQ795" s="759"/>
      <c r="HR795" s="759"/>
      <c r="HS795" s="759"/>
      <c r="HT795" s="759"/>
      <c r="HU795" s="759"/>
      <c r="HV795" s="759"/>
      <c r="HW795" s="759"/>
      <c r="HX795" s="759"/>
      <c r="HY795" s="759"/>
      <c r="HZ795" s="759"/>
      <c r="IA795" s="759"/>
      <c r="IB795" s="759"/>
      <c r="IC795" s="759"/>
      <c r="ID795" s="759"/>
      <c r="IE795" s="759"/>
      <c r="IF795" s="759"/>
      <c r="IG795" s="759"/>
      <c r="IH795" s="759"/>
      <c r="II795" s="759"/>
      <c r="IJ795" s="759"/>
      <c r="IK795" s="759"/>
      <c r="IL795" s="759"/>
      <c r="IM795" s="759"/>
      <c r="IN795" s="759"/>
      <c r="IO795" s="759"/>
      <c r="IP795" s="759"/>
      <c r="IQ795" s="759"/>
      <c r="IR795" s="759"/>
      <c r="IS795" s="759"/>
      <c r="IT795" s="759"/>
      <c r="IU795" s="759"/>
      <c r="IV795" s="759"/>
      <c r="IW795" s="759"/>
      <c r="IX795" s="759"/>
      <c r="IY795" s="759"/>
      <c r="IZ795" s="759"/>
      <c r="JA795" s="759"/>
      <c r="JB795" s="759"/>
    </row>
    <row r="796" spans="1:278" ht="14.45" customHeight="1">
      <c r="A796" s="29" t="s">
        <v>770</v>
      </c>
      <c r="B796" s="29" t="s">
        <v>553</v>
      </c>
      <c r="R796" s="1560"/>
      <c r="S796" s="1561"/>
      <c r="T796" s="1561"/>
      <c r="U796" s="10" t="str">
        <f>B796</f>
        <v>UNIT SUMMARY</v>
      </c>
      <c r="V796" s="29" t="s">
        <v>553</v>
      </c>
      <c r="AI796" s="533"/>
      <c r="GT796" s="615"/>
      <c r="GY796" s="615"/>
      <c r="GZ796" s="615"/>
      <c r="HA796" s="615"/>
      <c r="HB796" s="615"/>
      <c r="HC796" s="615"/>
      <c r="HD796" s="615"/>
      <c r="HE796" s="615"/>
      <c r="HF796" s="615"/>
      <c r="HG796" s="615"/>
      <c r="HH796" s="615"/>
      <c r="HI796" s="615"/>
      <c r="HJ796" s="615"/>
      <c r="HK796" s="615"/>
      <c r="HL796" s="615"/>
      <c r="HM796" s="615"/>
      <c r="HN796" s="615"/>
      <c r="HO796" s="615"/>
      <c r="HP796" s="615"/>
      <c r="HQ796" s="615"/>
      <c r="HR796" s="615"/>
      <c r="HS796" s="615"/>
      <c r="HT796" s="615"/>
      <c r="HU796" s="615"/>
      <c r="HV796" s="615"/>
      <c r="HW796" s="615"/>
      <c r="HX796" s="615"/>
      <c r="HY796" s="615"/>
      <c r="HZ796" s="615"/>
      <c r="IA796" s="615"/>
      <c r="IB796" s="615"/>
      <c r="IC796" s="615"/>
      <c r="ID796" s="615"/>
      <c r="IK796" s="29"/>
      <c r="IL796" s="29"/>
      <c r="JB796" s="29"/>
    </row>
    <row r="797" spans="1:278" ht="3" customHeight="1">
      <c r="A797" s="29"/>
      <c r="B797" s="29"/>
      <c r="R797" s="1562"/>
      <c r="S797" s="1563"/>
      <c r="T797" s="1563"/>
      <c r="U797" s="29"/>
      <c r="V797" s="29"/>
      <c r="AI797" s="533"/>
      <c r="GT797" s="615"/>
      <c r="GY797" s="615"/>
      <c r="GZ797" s="615"/>
      <c r="HA797" s="615"/>
      <c r="HB797" s="615"/>
      <c r="HC797" s="615"/>
      <c r="HD797" s="615"/>
      <c r="HE797" s="615"/>
      <c r="HF797" s="615"/>
      <c r="HG797" s="615"/>
      <c r="HH797" s="615"/>
      <c r="HI797" s="615"/>
      <c r="HJ797" s="615"/>
      <c r="HK797" s="615"/>
      <c r="HL797" s="615"/>
      <c r="HM797" s="615"/>
      <c r="HN797" s="615"/>
      <c r="HO797" s="615"/>
      <c r="HP797" s="615"/>
      <c r="HQ797" s="615"/>
      <c r="HR797" s="615"/>
      <c r="HS797" s="615"/>
      <c r="HT797" s="615"/>
      <c r="HU797" s="615"/>
      <c r="HV797" s="615"/>
      <c r="HW797" s="615"/>
      <c r="HX797" s="615"/>
      <c r="HY797" s="615"/>
      <c r="HZ797" s="615"/>
      <c r="IA797" s="615"/>
      <c r="IB797" s="615"/>
      <c r="IC797" s="615"/>
      <c r="ID797" s="615"/>
      <c r="IK797" s="29"/>
      <c r="IL797" s="29"/>
      <c r="JB797" s="29"/>
    </row>
    <row r="798" spans="1:278" ht="14.45" customHeight="1">
      <c r="A798" s="29"/>
      <c r="B798" s="29" t="s">
        <v>1177</v>
      </c>
      <c r="J798" s="1311" t="s">
        <v>587</v>
      </c>
      <c r="K798" s="1311" t="s">
        <v>554</v>
      </c>
      <c r="L798" s="1311" t="s">
        <v>555</v>
      </c>
      <c r="M798" s="1311" t="s">
        <v>556</v>
      </c>
      <c r="N798" s="1311" t="s">
        <v>557</v>
      </c>
      <c r="O798" s="1311" t="s">
        <v>558</v>
      </c>
      <c r="R798" s="1562"/>
      <c r="S798" s="1563"/>
      <c r="T798" s="1563"/>
      <c r="U798" s="1532" t="s">
        <v>1915</v>
      </c>
      <c r="V798" s="1532"/>
      <c r="AB798" s="1311"/>
      <c r="AC798" s="1311"/>
      <c r="AD798" s="1311"/>
      <c r="AE798" s="1311"/>
      <c r="AF798" s="1311"/>
      <c r="AG798" s="1311"/>
      <c r="AI798" s="533"/>
      <c r="GT798" s="615"/>
      <c r="GY798" s="615"/>
      <c r="GZ798" s="615"/>
      <c r="HA798" s="615"/>
      <c r="HB798" s="615"/>
      <c r="HC798" s="615"/>
      <c r="HD798" s="615"/>
      <c r="HE798" s="615"/>
      <c r="HF798" s="615"/>
      <c r="HG798" s="615"/>
      <c r="HH798" s="615"/>
      <c r="HI798" s="615"/>
      <c r="HJ798" s="615"/>
      <c r="HK798" s="615"/>
      <c r="HL798" s="615"/>
      <c r="HM798" s="615"/>
      <c r="HN798" s="615"/>
      <c r="HO798" s="615"/>
      <c r="HP798" s="615"/>
      <c r="HQ798" s="615"/>
      <c r="HR798" s="615"/>
      <c r="HS798" s="615"/>
      <c r="HT798" s="615"/>
      <c r="HU798" s="615"/>
      <c r="HV798" s="615"/>
      <c r="HW798" s="615"/>
      <c r="HX798" s="615"/>
      <c r="HY798" s="615"/>
      <c r="HZ798" s="615"/>
      <c r="IA798" s="615"/>
      <c r="IB798" s="615"/>
      <c r="IC798" s="615"/>
      <c r="ID798" s="615"/>
      <c r="IK798" s="29"/>
      <c r="IL798" s="29"/>
      <c r="JB798" s="29"/>
    </row>
    <row r="799" spans="1:278" ht="12" customHeight="1">
      <c r="C799" s="533" t="s">
        <v>1179</v>
      </c>
      <c r="D799" s="533"/>
      <c r="E799" s="533"/>
      <c r="F799" s="533"/>
      <c r="H799" s="54" t="s">
        <v>1191</v>
      </c>
      <c r="J799" s="1564">
        <f>W791</f>
        <v>3</v>
      </c>
      <c r="K799" s="1564">
        <f>X791</f>
        <v>205</v>
      </c>
      <c r="L799" s="1564">
        <f>Y791</f>
        <v>0</v>
      </c>
      <c r="M799" s="1564">
        <f>Z791</f>
        <v>0</v>
      </c>
      <c r="N799" s="1564">
        <f>AA791</f>
        <v>0</v>
      </c>
      <c r="O799" s="1564">
        <f t="shared" ref="O799:O805" si="262">SUM(J799:N799)</f>
        <v>208</v>
      </c>
      <c r="P799" s="1511" t="s">
        <v>4112</v>
      </c>
      <c r="Q799" s="1403"/>
      <c r="R799" s="1565"/>
      <c r="S799" s="1565"/>
      <c r="T799" s="1565"/>
      <c r="U799" s="1477">
        <f>'Part VI-Revenues &amp; Expenses'!U56</f>
        <v>0</v>
      </c>
      <c r="V799" s="1477"/>
      <c r="W799" s="533"/>
      <c r="X799" s="533"/>
      <c r="Y799" s="533"/>
      <c r="Z799" s="533"/>
      <c r="AA799" s="54"/>
      <c r="AB799" s="757"/>
      <c r="AC799" s="757"/>
      <c r="AD799" s="757"/>
      <c r="AE799" s="757"/>
      <c r="AF799" s="757"/>
      <c r="AG799" s="757"/>
      <c r="AH799" s="54"/>
      <c r="AI799" s="533"/>
      <c r="GT799" s="615"/>
      <c r="GY799" s="615"/>
      <c r="GZ799" s="615"/>
      <c r="HA799" s="615"/>
      <c r="HB799" s="615"/>
      <c r="HC799" s="615"/>
      <c r="HD799" s="615"/>
      <c r="HE799" s="615"/>
      <c r="HF799" s="615"/>
      <c r="HG799" s="615"/>
      <c r="HH799" s="615"/>
      <c r="HI799" s="615"/>
      <c r="HJ799" s="615"/>
      <c r="HK799" s="615"/>
      <c r="HL799" s="615"/>
      <c r="HM799" s="615"/>
      <c r="HN799" s="615"/>
      <c r="HO799" s="615"/>
      <c r="HP799" s="615"/>
      <c r="HQ799" s="615"/>
      <c r="HR799" s="615"/>
      <c r="HS799" s="615"/>
      <c r="HT799" s="615"/>
      <c r="HU799" s="615"/>
      <c r="HV799" s="615"/>
      <c r="HW799" s="615"/>
      <c r="HX799" s="615"/>
      <c r="HY799" s="615"/>
      <c r="HZ799" s="615"/>
      <c r="IA799" s="615"/>
      <c r="IB799" s="615"/>
      <c r="IC799" s="615"/>
      <c r="ID799" s="615"/>
      <c r="IK799" s="29"/>
      <c r="IL799" s="29"/>
      <c r="JB799" s="29"/>
    </row>
    <row r="800" spans="1:278" ht="12" customHeight="1">
      <c r="A800" s="1158" t="s">
        <v>457</v>
      </c>
      <c r="B800" s="1158"/>
      <c r="C800" s="10"/>
      <c r="D800" s="533"/>
      <c r="E800" s="533"/>
      <c r="F800" s="533"/>
      <c r="H800" s="54" t="s">
        <v>120</v>
      </c>
      <c r="J800" s="1564">
        <f>AB791</f>
        <v>0</v>
      </c>
      <c r="K800" s="1564">
        <f>AC791</f>
        <v>0</v>
      </c>
      <c r="L800" s="1564">
        <f>AD791</f>
        <v>0</v>
      </c>
      <c r="M800" s="1564">
        <f>AE791</f>
        <v>0</v>
      </c>
      <c r="N800" s="1564">
        <f>AF791</f>
        <v>0</v>
      </c>
      <c r="O800" s="1564">
        <f t="shared" si="262"/>
        <v>0</v>
      </c>
      <c r="P800" s="1511"/>
      <c r="Q800" s="1403"/>
      <c r="R800" s="1565"/>
      <c r="S800" s="1565"/>
      <c r="T800" s="1565"/>
      <c r="U800" s="1477"/>
      <c r="V800" s="1477"/>
      <c r="W800" s="10"/>
      <c r="X800" s="533"/>
      <c r="Y800" s="533"/>
      <c r="Z800" s="533"/>
      <c r="AA800" s="54"/>
      <c r="AB800" s="757"/>
      <c r="AC800" s="757"/>
      <c r="AD800" s="757"/>
      <c r="AE800" s="757"/>
      <c r="AF800" s="757"/>
      <c r="AG800" s="757"/>
      <c r="AH800" s="54"/>
      <c r="AI800" s="533"/>
      <c r="GT800" s="615"/>
      <c r="GY800" s="615"/>
      <c r="GZ800" s="615"/>
      <c r="HA800" s="615"/>
      <c r="HB800" s="615"/>
      <c r="HC800" s="615"/>
      <c r="HD800" s="615"/>
      <c r="HE800" s="615"/>
      <c r="HF800" s="615"/>
      <c r="HG800" s="615"/>
      <c r="HH800" s="615"/>
      <c r="HI800" s="615"/>
      <c r="HJ800" s="615"/>
      <c r="HK800" s="615"/>
      <c r="HL800" s="615"/>
      <c r="HM800" s="615"/>
      <c r="HN800" s="615"/>
      <c r="HO800" s="615"/>
      <c r="HP800" s="615"/>
      <c r="HQ800" s="615"/>
      <c r="HR800" s="615"/>
      <c r="HS800" s="615"/>
      <c r="HT800" s="615"/>
      <c r="HU800" s="615"/>
      <c r="HV800" s="615"/>
      <c r="HW800" s="615"/>
      <c r="HX800" s="615"/>
      <c r="HY800" s="615"/>
      <c r="HZ800" s="615"/>
      <c r="IA800" s="615"/>
      <c r="IB800" s="615"/>
      <c r="IC800" s="615"/>
      <c r="ID800" s="615"/>
      <c r="IK800" s="29"/>
      <c r="IL800" s="29"/>
      <c r="JB800" s="29"/>
    </row>
    <row r="801" spans="1:262" ht="12" customHeight="1">
      <c r="A801" s="1158"/>
      <c r="B801" s="1158"/>
      <c r="C801" s="10"/>
      <c r="D801" s="533"/>
      <c r="E801" s="533"/>
      <c r="F801" s="533"/>
      <c r="H801" s="54" t="s">
        <v>558</v>
      </c>
      <c r="J801" s="1564">
        <f>SUM(J799:J800)</f>
        <v>3</v>
      </c>
      <c r="K801" s="1564">
        <f>SUM(K799:K800)</f>
        <v>205</v>
      </c>
      <c r="L801" s="1564">
        <f>SUM(L799:L800)</f>
        <v>0</v>
      </c>
      <c r="M801" s="1564">
        <f>SUM(M799:M800)</f>
        <v>0</v>
      </c>
      <c r="N801" s="1564">
        <f>SUM(N799:N800)</f>
        <v>0</v>
      </c>
      <c r="O801" s="1564">
        <f t="shared" si="262"/>
        <v>208</v>
      </c>
      <c r="P801" s="1511"/>
      <c r="R801" s="1565"/>
      <c r="S801" s="1565"/>
      <c r="T801" s="1565"/>
      <c r="U801" s="1477"/>
      <c r="V801" s="1477"/>
      <c r="W801" s="10"/>
      <c r="X801" s="533"/>
      <c r="Y801" s="533"/>
      <c r="Z801" s="533"/>
      <c r="AA801" s="54"/>
      <c r="AB801" s="757"/>
      <c r="AC801" s="757"/>
      <c r="AD801" s="757"/>
      <c r="AE801" s="757"/>
      <c r="AF801" s="757"/>
      <c r="AG801" s="757"/>
      <c r="AH801" s="54"/>
      <c r="AI801" s="533"/>
      <c r="GT801" s="615"/>
      <c r="GY801" s="615"/>
      <c r="GZ801" s="615"/>
      <c r="HA801" s="615"/>
      <c r="HB801" s="615"/>
      <c r="HC801" s="615"/>
      <c r="HD801" s="615"/>
      <c r="HE801" s="615"/>
      <c r="HF801" s="615"/>
      <c r="HG801" s="615"/>
      <c r="HH801" s="615"/>
      <c r="HI801" s="615"/>
      <c r="HJ801" s="615"/>
      <c r="HK801" s="615"/>
      <c r="HL801" s="615"/>
      <c r="HM801" s="615"/>
      <c r="HN801" s="615"/>
      <c r="HO801" s="615"/>
      <c r="HP801" s="615"/>
      <c r="HQ801" s="615"/>
      <c r="HR801" s="615"/>
      <c r="HS801" s="615"/>
      <c r="HT801" s="615"/>
      <c r="HU801" s="615"/>
      <c r="HV801" s="615"/>
      <c r="HW801" s="615"/>
      <c r="HX801" s="615"/>
      <c r="HY801" s="615"/>
      <c r="HZ801" s="615"/>
      <c r="IA801" s="615"/>
      <c r="IB801" s="615"/>
      <c r="IC801" s="615"/>
      <c r="ID801" s="615"/>
      <c r="IK801" s="29"/>
      <c r="IL801" s="29"/>
      <c r="JB801" s="29"/>
    </row>
    <row r="802" spans="1:262" ht="12" customHeight="1">
      <c r="A802" s="1158"/>
      <c r="B802" s="1158"/>
      <c r="C802" s="533" t="s">
        <v>316</v>
      </c>
      <c r="D802" s="533"/>
      <c r="E802" s="533"/>
      <c r="F802" s="533"/>
      <c r="H802" s="54"/>
      <c r="J802" s="1564">
        <f>AL791</f>
        <v>0</v>
      </c>
      <c r="K802" s="1564">
        <f>AM791</f>
        <v>0</v>
      </c>
      <c r="L802" s="1564">
        <f>AN791</f>
        <v>0</v>
      </c>
      <c r="M802" s="1564">
        <f>AO791</f>
        <v>0</v>
      </c>
      <c r="N802" s="1564">
        <f>AP791</f>
        <v>0</v>
      </c>
      <c r="O802" s="1564">
        <f t="shared" si="262"/>
        <v>0</v>
      </c>
      <c r="R802" s="1565"/>
      <c r="S802" s="1565"/>
      <c r="T802" s="1565"/>
      <c r="U802" s="1477"/>
      <c r="V802" s="1477"/>
      <c r="W802" s="533"/>
      <c r="X802" s="533"/>
      <c r="Y802" s="533"/>
      <c r="Z802" s="533"/>
      <c r="AA802" s="54"/>
      <c r="AB802" s="757"/>
      <c r="AC802" s="757"/>
      <c r="AD802" s="757"/>
      <c r="AE802" s="757"/>
      <c r="AF802" s="757"/>
      <c r="AG802" s="757"/>
      <c r="AH802" s="467"/>
      <c r="AI802" s="533"/>
      <c r="GT802" s="615"/>
      <c r="GY802" s="615"/>
      <c r="GZ802" s="615"/>
      <c r="HA802" s="615"/>
      <c r="HB802" s="615"/>
      <c r="HC802" s="615"/>
      <c r="HD802" s="615"/>
      <c r="HE802" s="615"/>
      <c r="HF802" s="615"/>
      <c r="HG802" s="615"/>
      <c r="HH802" s="615"/>
      <c r="HI802" s="615"/>
      <c r="HJ802" s="615"/>
      <c r="HK802" s="615"/>
      <c r="HL802" s="615"/>
      <c r="HM802" s="615"/>
      <c r="HN802" s="615"/>
      <c r="HO802" s="615"/>
      <c r="HP802" s="615"/>
      <c r="HQ802" s="615"/>
      <c r="HR802" s="615"/>
      <c r="HS802" s="615"/>
      <c r="HT802" s="615"/>
      <c r="HU802" s="615"/>
      <c r="HV802" s="615"/>
      <c r="HW802" s="615"/>
      <c r="HX802" s="615"/>
      <c r="HY802" s="615"/>
      <c r="HZ802" s="615"/>
      <c r="IA802" s="615"/>
      <c r="IB802" s="615"/>
      <c r="IC802" s="615"/>
      <c r="ID802" s="615"/>
      <c r="IK802" s="29"/>
      <c r="IL802" s="29"/>
      <c r="JB802" s="29"/>
    </row>
    <row r="803" spans="1:262" ht="12" customHeight="1">
      <c r="A803" s="1158"/>
      <c r="B803" s="1158"/>
      <c r="C803" s="533" t="s">
        <v>1180</v>
      </c>
      <c r="D803" s="533"/>
      <c r="E803" s="533"/>
      <c r="F803" s="533"/>
      <c r="H803" s="54"/>
      <c r="J803" s="1564">
        <f>SUM(J801:J802)</f>
        <v>3</v>
      </c>
      <c r="K803" s="1564">
        <f>SUM(K801:K802)</f>
        <v>205</v>
      </c>
      <c r="L803" s="1564">
        <f>SUM(L801:L802)</f>
        <v>0</v>
      </c>
      <c r="M803" s="1564">
        <f>SUM(M801:M802)</f>
        <v>0</v>
      </c>
      <c r="N803" s="1564">
        <f>SUM(N801:N802)</f>
        <v>0</v>
      </c>
      <c r="O803" s="1564">
        <f t="shared" si="262"/>
        <v>208</v>
      </c>
      <c r="R803" s="1565"/>
      <c r="S803" s="1565"/>
      <c r="T803" s="1565"/>
      <c r="U803" s="1477"/>
      <c r="V803" s="1477"/>
      <c r="W803" s="533"/>
      <c r="X803" s="533"/>
      <c r="Y803" s="533"/>
      <c r="Z803" s="533"/>
      <c r="AA803" s="54"/>
      <c r="AB803" s="757"/>
      <c r="AC803" s="757"/>
      <c r="AD803" s="757"/>
      <c r="AE803" s="757"/>
      <c r="AF803" s="757"/>
      <c r="AG803" s="757"/>
      <c r="AH803" s="467"/>
      <c r="AI803" s="533"/>
      <c r="GT803" s="615"/>
      <c r="GY803" s="615"/>
      <c r="GZ803" s="615"/>
      <c r="HA803" s="615"/>
      <c r="HB803" s="615"/>
      <c r="HC803" s="615"/>
      <c r="HD803" s="615"/>
      <c r="HE803" s="615"/>
      <c r="HF803" s="615"/>
      <c r="HG803" s="615"/>
      <c r="HH803" s="615"/>
      <c r="HI803" s="615"/>
      <c r="HJ803" s="615"/>
      <c r="HK803" s="615"/>
      <c r="HL803" s="615"/>
      <c r="HM803" s="615"/>
      <c r="HN803" s="615"/>
      <c r="HO803" s="615"/>
      <c r="HP803" s="615"/>
      <c r="HQ803" s="615"/>
      <c r="HR803" s="615"/>
      <c r="HS803" s="615"/>
      <c r="HT803" s="615"/>
      <c r="HU803" s="615"/>
      <c r="HV803" s="615"/>
      <c r="HW803" s="615"/>
      <c r="HX803" s="615"/>
      <c r="HY803" s="615"/>
      <c r="HZ803" s="615"/>
      <c r="IA803" s="615"/>
      <c r="IB803" s="615"/>
      <c r="IC803" s="615"/>
      <c r="ID803" s="615"/>
      <c r="IK803" s="29"/>
      <c r="IL803" s="29"/>
      <c r="JB803" s="29"/>
    </row>
    <row r="804" spans="1:262" ht="12" customHeight="1">
      <c r="A804" s="1158"/>
      <c r="B804" s="1158"/>
      <c r="C804" s="533" t="s">
        <v>2598</v>
      </c>
      <c r="D804" s="533"/>
      <c r="E804" s="533"/>
      <c r="F804" s="533"/>
      <c r="H804" s="54"/>
      <c r="J804" s="1564">
        <f>BU791</f>
        <v>0</v>
      </c>
      <c r="K804" s="1564">
        <f>BV791</f>
        <v>0</v>
      </c>
      <c r="L804" s="1564">
        <f>BW791</f>
        <v>0</v>
      </c>
      <c r="M804" s="1564">
        <f>BX791</f>
        <v>0</v>
      </c>
      <c r="N804" s="1564">
        <f>BY791</f>
        <v>0</v>
      </c>
      <c r="O804" s="1564">
        <f t="shared" si="262"/>
        <v>0</v>
      </c>
      <c r="P804" s="573" t="s">
        <v>4113</v>
      </c>
      <c r="R804" s="1565"/>
      <c r="S804" s="1565"/>
      <c r="T804" s="1565"/>
      <c r="U804" s="1477"/>
      <c r="V804" s="1477"/>
      <c r="W804" s="533"/>
      <c r="X804" s="533"/>
      <c r="Y804" s="533"/>
      <c r="Z804" s="533"/>
      <c r="AA804" s="54"/>
      <c r="AB804" s="757"/>
      <c r="AC804" s="757"/>
      <c r="AD804" s="757"/>
      <c r="AE804" s="757"/>
      <c r="AF804" s="757"/>
      <c r="AG804" s="757"/>
      <c r="AH804" s="54"/>
      <c r="AI804" s="533"/>
      <c r="GT804" s="615"/>
      <c r="GY804" s="615"/>
      <c r="GZ804" s="615"/>
      <c r="HA804" s="615"/>
      <c r="HB804" s="615"/>
      <c r="HC804" s="615"/>
      <c r="HD804" s="615"/>
      <c r="HE804" s="615"/>
      <c r="HF804" s="615"/>
      <c r="HG804" s="615"/>
      <c r="HH804" s="615"/>
      <c r="HI804" s="615"/>
      <c r="HJ804" s="615"/>
      <c r="HK804" s="615"/>
      <c r="HL804" s="615"/>
      <c r="HM804" s="615"/>
      <c r="HN804" s="615"/>
      <c r="HO804" s="615"/>
      <c r="HP804" s="615"/>
      <c r="HQ804" s="615"/>
      <c r="HR804" s="615"/>
      <c r="HS804" s="615"/>
      <c r="HT804" s="615"/>
      <c r="HU804" s="615"/>
      <c r="HV804" s="615"/>
      <c r="HW804" s="615"/>
      <c r="HX804" s="615"/>
      <c r="HY804" s="615"/>
      <c r="HZ804" s="615"/>
      <c r="IA804" s="615"/>
      <c r="IB804" s="615"/>
      <c r="IC804" s="615"/>
      <c r="ID804" s="615"/>
      <c r="IK804" s="29"/>
      <c r="IL804" s="29"/>
      <c r="JB804" s="29"/>
    </row>
    <row r="805" spans="1:262" ht="12" customHeight="1">
      <c r="A805" s="1158"/>
      <c r="B805" s="1158"/>
      <c r="C805" s="533" t="s">
        <v>558</v>
      </c>
      <c r="D805" s="533"/>
      <c r="E805" s="533"/>
      <c r="F805" s="533"/>
      <c r="H805" s="54"/>
      <c r="J805" s="1564">
        <f>SUM(J803:J804)</f>
        <v>3</v>
      </c>
      <c r="K805" s="1564">
        <f>SUM(K803:K804)</f>
        <v>205</v>
      </c>
      <c r="L805" s="1564">
        <f>SUM(L803:L804)</f>
        <v>0</v>
      </c>
      <c r="M805" s="1564">
        <f>SUM(M803:M804)</f>
        <v>0</v>
      </c>
      <c r="N805" s="1564">
        <f>SUM(N803:N804)</f>
        <v>0</v>
      </c>
      <c r="O805" s="1564">
        <f t="shared" si="262"/>
        <v>208</v>
      </c>
      <c r="R805" s="1565"/>
      <c r="S805" s="1565"/>
      <c r="T805" s="1565"/>
      <c r="U805" s="1477"/>
      <c r="V805" s="1477"/>
      <c r="W805" s="533"/>
      <c r="X805" s="533"/>
      <c r="Y805" s="533"/>
      <c r="Z805" s="533"/>
      <c r="AA805" s="54"/>
      <c r="AB805" s="757"/>
      <c r="AC805" s="757"/>
      <c r="AD805" s="757"/>
      <c r="AE805" s="757"/>
      <c r="AF805" s="757"/>
      <c r="AG805" s="757"/>
      <c r="AI805" s="533"/>
      <c r="GT805" s="615"/>
      <c r="GY805" s="615"/>
      <c r="GZ805" s="615"/>
      <c r="HA805" s="615"/>
      <c r="HB805" s="615"/>
      <c r="HC805" s="615"/>
      <c r="HD805" s="615"/>
      <c r="HE805" s="615"/>
      <c r="HF805" s="615"/>
      <c r="HG805" s="615"/>
      <c r="HH805" s="615"/>
      <c r="HI805" s="615"/>
      <c r="HJ805" s="615"/>
      <c r="HK805" s="615"/>
      <c r="HL805" s="615"/>
      <c r="HM805" s="615"/>
      <c r="HN805" s="615"/>
      <c r="HO805" s="615"/>
      <c r="HP805" s="615"/>
      <c r="HQ805" s="615"/>
      <c r="HR805" s="615"/>
      <c r="HS805" s="615"/>
      <c r="HT805" s="615"/>
      <c r="HU805" s="615"/>
      <c r="HV805" s="615"/>
      <c r="HW805" s="615"/>
      <c r="HX805" s="615"/>
      <c r="HY805" s="615"/>
      <c r="HZ805" s="615"/>
      <c r="IA805" s="615"/>
      <c r="IB805" s="615"/>
      <c r="IC805" s="615"/>
      <c r="ID805" s="615"/>
      <c r="IK805" s="29"/>
      <c r="IL805" s="29"/>
      <c r="JB805" s="29"/>
    </row>
    <row r="806" spans="1:262" ht="9" customHeight="1">
      <c r="A806" s="1158"/>
      <c r="B806" s="1158"/>
      <c r="C806" s="533"/>
      <c r="D806" s="533"/>
      <c r="E806" s="533"/>
      <c r="F806" s="533"/>
      <c r="H806" s="54"/>
      <c r="J806" s="1566"/>
      <c r="K806" s="1566"/>
      <c r="L806" s="1566"/>
      <c r="M806" s="1566"/>
      <c r="N806" s="1566"/>
      <c r="O806" s="1566"/>
      <c r="R806" s="1565"/>
      <c r="S806" s="1565"/>
      <c r="T806" s="1565"/>
      <c r="U806" s="338" t="str">
        <f>C807</f>
        <v>PBRA-Assisted</v>
      </c>
      <c r="W806" s="533"/>
      <c r="X806" s="533"/>
      <c r="Y806" s="533"/>
      <c r="Z806" s="533"/>
      <c r="AA806" s="54"/>
      <c r="AB806" s="533"/>
      <c r="AC806" s="533"/>
      <c r="AD806" s="533"/>
      <c r="AE806" s="533"/>
      <c r="AF806" s="533"/>
      <c r="AG806" s="533"/>
      <c r="AI806" s="533"/>
      <c r="GT806" s="615"/>
      <c r="GY806" s="615"/>
      <c r="GZ806" s="615"/>
      <c r="HA806" s="615"/>
      <c r="HB806" s="615"/>
      <c r="HC806" s="615"/>
      <c r="HD806" s="615"/>
      <c r="HE806" s="615"/>
      <c r="HF806" s="615"/>
      <c r="HG806" s="615"/>
      <c r="HH806" s="615"/>
      <c r="HI806" s="615"/>
      <c r="HJ806" s="615"/>
      <c r="HK806" s="615"/>
      <c r="HL806" s="615"/>
      <c r="HM806" s="615"/>
      <c r="HN806" s="615"/>
      <c r="HO806" s="615"/>
      <c r="HP806" s="615"/>
      <c r="HQ806" s="615"/>
      <c r="HR806" s="615"/>
      <c r="HS806" s="615"/>
      <c r="HT806" s="615"/>
      <c r="HU806" s="615"/>
      <c r="HV806" s="615"/>
      <c r="HW806" s="615"/>
      <c r="HX806" s="615"/>
      <c r="HY806" s="615"/>
      <c r="HZ806" s="615"/>
      <c r="IA806" s="615"/>
      <c r="IB806" s="615"/>
      <c r="IC806" s="615"/>
      <c r="ID806" s="615"/>
      <c r="IK806" s="29"/>
      <c r="IL806" s="29"/>
      <c r="JB806" s="29"/>
    </row>
    <row r="807" spans="1:262" ht="12" customHeight="1">
      <c r="A807" s="1158"/>
      <c r="B807" s="1158"/>
      <c r="C807" s="533" t="s">
        <v>967</v>
      </c>
      <c r="D807" s="533"/>
      <c r="E807" s="109"/>
      <c r="F807" s="533"/>
      <c r="H807" s="54" t="s">
        <v>1191</v>
      </c>
      <c r="J807" s="1564">
        <f>BA791</f>
        <v>3</v>
      </c>
      <c r="K807" s="1564">
        <f>BB791</f>
        <v>205</v>
      </c>
      <c r="L807" s="1564">
        <f>BC791</f>
        <v>0</v>
      </c>
      <c r="M807" s="1564">
        <f>BD791</f>
        <v>0</v>
      </c>
      <c r="N807" s="1564">
        <f>BE791</f>
        <v>0</v>
      </c>
      <c r="O807" s="1564">
        <f>SUM(J807:N807)</f>
        <v>208</v>
      </c>
      <c r="R807" s="1565"/>
      <c r="S807" s="1565"/>
      <c r="T807" s="1565"/>
      <c r="U807" s="1477">
        <f>'Part VI-Revenues &amp; Expenses'!U64</f>
        <v>0</v>
      </c>
      <c r="V807" s="1477"/>
      <c r="W807" s="533"/>
      <c r="X807" s="533"/>
      <c r="Y807" s="109"/>
      <c r="Z807" s="533"/>
      <c r="AA807" s="54"/>
      <c r="AB807" s="757"/>
      <c r="AC807" s="757"/>
      <c r="AD807" s="757"/>
      <c r="AE807" s="757"/>
      <c r="AF807" s="757"/>
      <c r="AG807" s="757"/>
      <c r="AH807" s="54"/>
      <c r="AI807" s="533"/>
      <c r="GT807" s="615"/>
      <c r="GY807" s="615"/>
      <c r="GZ807" s="615"/>
      <c r="HA807" s="615"/>
      <c r="HB807" s="615"/>
      <c r="HC807" s="615"/>
      <c r="HD807" s="615"/>
      <c r="HE807" s="615"/>
      <c r="HF807" s="615"/>
      <c r="HG807" s="615"/>
      <c r="HH807" s="615"/>
      <c r="HI807" s="615"/>
      <c r="HJ807" s="615"/>
      <c r="HK807" s="615"/>
      <c r="HL807" s="615"/>
      <c r="HM807" s="615"/>
      <c r="HN807" s="615"/>
      <c r="HO807" s="615"/>
      <c r="HP807" s="615"/>
      <c r="HQ807" s="615"/>
      <c r="HR807" s="615"/>
      <c r="HS807" s="615"/>
      <c r="HT807" s="615"/>
      <c r="HU807" s="615"/>
      <c r="HV807" s="615"/>
      <c r="HW807" s="615"/>
      <c r="HX807" s="615"/>
      <c r="HY807" s="615"/>
      <c r="HZ807" s="615"/>
      <c r="IA807" s="615"/>
      <c r="IB807" s="615"/>
      <c r="IC807" s="615"/>
      <c r="ID807" s="615"/>
      <c r="IK807" s="29"/>
      <c r="IL807" s="29"/>
      <c r="JB807" s="29"/>
    </row>
    <row r="808" spans="1:262" ht="12" customHeight="1">
      <c r="A808" s="1158"/>
      <c r="B808" s="1158"/>
      <c r="C808" s="54" t="s">
        <v>2599</v>
      </c>
      <c r="D808" s="533"/>
      <c r="E808" s="109"/>
      <c r="F808" s="533"/>
      <c r="H808" s="54" t="s">
        <v>120</v>
      </c>
      <c r="J808" s="1564">
        <f>AV791</f>
        <v>0</v>
      </c>
      <c r="K808" s="1564">
        <f>AW791</f>
        <v>0</v>
      </c>
      <c r="L808" s="1564">
        <f>AX791</f>
        <v>0</v>
      </c>
      <c r="M808" s="1564">
        <f>AY791</f>
        <v>0</v>
      </c>
      <c r="N808" s="1564">
        <f>AZ791</f>
        <v>0</v>
      </c>
      <c r="O808" s="1564">
        <f>SUM(J808:N808)</f>
        <v>0</v>
      </c>
      <c r="R808" s="1565"/>
      <c r="S808" s="1565"/>
      <c r="T808" s="1565"/>
      <c r="U808" s="1477"/>
      <c r="V808" s="1477"/>
      <c r="W808" s="54"/>
      <c r="X808" s="533"/>
      <c r="Y808" s="109"/>
      <c r="Z808" s="533"/>
      <c r="AA808" s="54"/>
      <c r="AB808" s="757"/>
      <c r="AC808" s="757"/>
      <c r="AD808" s="757"/>
      <c r="AE808" s="757"/>
      <c r="AF808" s="757"/>
      <c r="AG808" s="757"/>
      <c r="AH808" s="54"/>
      <c r="AI808" s="533"/>
      <c r="GT808" s="615"/>
      <c r="GY808" s="615"/>
      <c r="GZ808" s="615"/>
      <c r="HA808" s="615"/>
      <c r="HB808" s="615"/>
      <c r="HC808" s="615"/>
      <c r="HD808" s="615"/>
      <c r="HE808" s="615"/>
      <c r="HF808" s="615"/>
      <c r="HG808" s="615"/>
      <c r="HH808" s="615"/>
      <c r="HI808" s="615"/>
      <c r="HJ808" s="615"/>
      <c r="HK808" s="615"/>
      <c r="HL808" s="615"/>
      <c r="HM808" s="615"/>
      <c r="HN808" s="615"/>
      <c r="HO808" s="615"/>
      <c r="HP808" s="615"/>
      <c r="HQ808" s="615"/>
      <c r="HR808" s="615"/>
      <c r="HS808" s="615"/>
      <c r="HT808" s="615"/>
      <c r="HU808" s="615"/>
      <c r="HV808" s="615"/>
      <c r="HW808" s="615"/>
      <c r="HX808" s="615"/>
      <c r="HY808" s="615"/>
      <c r="HZ808" s="615"/>
      <c r="IA808" s="615"/>
      <c r="IB808" s="615"/>
      <c r="IC808" s="615"/>
      <c r="ID808" s="615"/>
      <c r="IK808" s="29"/>
      <c r="IL808" s="29"/>
      <c r="JB808" s="29"/>
    </row>
    <row r="809" spans="1:262" ht="12" customHeight="1">
      <c r="A809" s="1158"/>
      <c r="B809" s="1158"/>
      <c r="C809" s="10"/>
      <c r="D809" s="533"/>
      <c r="E809" s="109"/>
      <c r="F809" s="533"/>
      <c r="H809" s="54" t="s">
        <v>558</v>
      </c>
      <c r="J809" s="1564">
        <f>SUM(J807:J808)</f>
        <v>3</v>
      </c>
      <c r="K809" s="1564">
        <f>SUM(K807:K808)</f>
        <v>205</v>
      </c>
      <c r="L809" s="1564">
        <f>SUM(L807:L808)</f>
        <v>0</v>
      </c>
      <c r="M809" s="1564">
        <f>SUM(M807:M808)</f>
        <v>0</v>
      </c>
      <c r="N809" s="1564">
        <f>SUM(N807:N808)</f>
        <v>0</v>
      </c>
      <c r="O809" s="1564">
        <f>SUM(J809:N809)</f>
        <v>208</v>
      </c>
      <c r="R809" s="1565"/>
      <c r="S809" s="1565"/>
      <c r="T809" s="1565"/>
      <c r="U809" s="1477"/>
      <c r="V809" s="1477"/>
      <c r="W809" s="10"/>
      <c r="X809" s="533"/>
      <c r="Y809" s="109"/>
      <c r="Z809" s="533"/>
      <c r="AA809" s="54"/>
      <c r="AB809" s="757"/>
      <c r="AC809" s="757"/>
      <c r="AD809" s="757"/>
      <c r="AE809" s="757"/>
      <c r="AF809" s="757"/>
      <c r="AG809" s="757"/>
      <c r="AH809" s="54"/>
      <c r="AI809" s="533"/>
      <c r="GT809" s="615"/>
      <c r="GY809" s="615"/>
      <c r="GZ809" s="615"/>
      <c r="HA809" s="615"/>
      <c r="HB809" s="615"/>
      <c r="HC809" s="615"/>
      <c r="HD809" s="615"/>
      <c r="HE809" s="615"/>
      <c r="HF809" s="615"/>
      <c r="HG809" s="615"/>
      <c r="HH809" s="615"/>
      <c r="HI809" s="615"/>
      <c r="HJ809" s="615"/>
      <c r="HK809" s="615"/>
      <c r="HL809" s="615"/>
      <c r="HM809" s="615"/>
      <c r="HN809" s="615"/>
      <c r="HO809" s="615"/>
      <c r="HP809" s="615"/>
      <c r="HQ809" s="615"/>
      <c r="HR809" s="615"/>
      <c r="HS809" s="615"/>
      <c r="HT809" s="615"/>
      <c r="HU809" s="615"/>
      <c r="HV809" s="615"/>
      <c r="HW809" s="615"/>
      <c r="HX809" s="615"/>
      <c r="HY809" s="615"/>
      <c r="HZ809" s="615"/>
      <c r="IA809" s="615"/>
      <c r="IB809" s="615"/>
      <c r="IC809" s="615"/>
      <c r="ID809" s="615"/>
      <c r="IK809" s="29"/>
      <c r="IL809" s="29"/>
      <c r="JB809" s="29"/>
    </row>
    <row r="810" spans="1:262" ht="9" customHeight="1">
      <c r="A810" s="1158"/>
      <c r="B810" s="1158"/>
      <c r="C810" s="533"/>
      <c r="D810" s="533"/>
      <c r="E810" s="533"/>
      <c r="F810" s="533"/>
      <c r="H810" s="54"/>
      <c r="J810" s="1566"/>
      <c r="K810" s="1566"/>
      <c r="L810" s="1566"/>
      <c r="M810" s="1566"/>
      <c r="N810" s="1566"/>
      <c r="O810" s="1566"/>
      <c r="R810" s="1565"/>
      <c r="S810" s="1565"/>
      <c r="T810" s="1565"/>
      <c r="U810" s="338" t="str">
        <f>C811</f>
        <v>PHA Operating Subsidy-Assisted</v>
      </c>
      <c r="W810" s="533"/>
      <c r="X810" s="533"/>
      <c r="Y810" s="533"/>
      <c r="Z810" s="533"/>
      <c r="AA810" s="54"/>
      <c r="AB810" s="533"/>
      <c r="AC810" s="533"/>
      <c r="AD810" s="533"/>
      <c r="AE810" s="533"/>
      <c r="AF810" s="533"/>
      <c r="AG810" s="533"/>
      <c r="AI810" s="533"/>
      <c r="GT810" s="615"/>
      <c r="GY810" s="615"/>
      <c r="GZ810" s="615"/>
      <c r="HA810" s="615"/>
      <c r="HB810" s="615"/>
      <c r="HC810" s="615"/>
      <c r="HD810" s="615"/>
      <c r="HE810" s="615"/>
      <c r="HF810" s="615"/>
      <c r="HG810" s="615"/>
      <c r="HH810" s="615"/>
      <c r="HI810" s="615"/>
      <c r="HJ810" s="615"/>
      <c r="HK810" s="615"/>
      <c r="HL810" s="615"/>
      <c r="HM810" s="615"/>
      <c r="HN810" s="615"/>
      <c r="HO810" s="615"/>
      <c r="HP810" s="615"/>
      <c r="HQ810" s="615"/>
      <c r="HR810" s="615"/>
      <c r="HS810" s="615"/>
      <c r="HT810" s="615"/>
      <c r="HU810" s="615"/>
      <c r="HV810" s="615"/>
      <c r="HW810" s="615"/>
      <c r="HX810" s="615"/>
      <c r="HY810" s="615"/>
      <c r="HZ810" s="615"/>
      <c r="IA810" s="615"/>
      <c r="IB810" s="615"/>
      <c r="IC810" s="615"/>
      <c r="ID810" s="615"/>
      <c r="IK810" s="29"/>
      <c r="IL810" s="29"/>
      <c r="JB810" s="29"/>
    </row>
    <row r="811" spans="1:262" ht="12" customHeight="1">
      <c r="A811" s="1158"/>
      <c r="B811" s="1158"/>
      <c r="C811" s="1157" t="s">
        <v>923</v>
      </c>
      <c r="D811" s="1157"/>
      <c r="E811" s="1157"/>
      <c r="F811" s="533"/>
      <c r="H811" s="54" t="s">
        <v>1191</v>
      </c>
      <c r="J811" s="1564">
        <f>BP791</f>
        <v>0</v>
      </c>
      <c r="K811" s="1564">
        <f>BQ791</f>
        <v>0</v>
      </c>
      <c r="L811" s="1564">
        <f>BR791</f>
        <v>0</v>
      </c>
      <c r="M811" s="1564">
        <f>BS791</f>
        <v>0</v>
      </c>
      <c r="N811" s="1564">
        <f>BT791</f>
        <v>0</v>
      </c>
      <c r="O811" s="1564">
        <f>SUM(J811:N811)</f>
        <v>0</v>
      </c>
      <c r="R811" s="1565"/>
      <c r="S811" s="1565"/>
      <c r="T811" s="1565"/>
      <c r="U811" s="1477">
        <f>'Part VI-Revenues &amp; Expenses'!U68</f>
        <v>0</v>
      </c>
      <c r="V811" s="1477"/>
      <c r="W811" s="533"/>
      <c r="X811" s="533"/>
      <c r="Y811" s="109"/>
      <c r="Z811" s="533"/>
      <c r="AA811" s="54"/>
      <c r="AB811" s="757"/>
      <c r="AC811" s="757"/>
      <c r="AD811" s="757"/>
      <c r="AE811" s="757"/>
      <c r="AF811" s="757"/>
      <c r="AG811" s="757"/>
      <c r="AH811" s="54"/>
      <c r="AI811" s="533"/>
      <c r="GT811" s="615"/>
      <c r="GY811" s="615"/>
      <c r="GZ811" s="615"/>
      <c r="HA811" s="615"/>
      <c r="HB811" s="615"/>
      <c r="HC811" s="615"/>
      <c r="HD811" s="615"/>
      <c r="HE811" s="615"/>
      <c r="HF811" s="615"/>
      <c r="HG811" s="615"/>
      <c r="HH811" s="615"/>
      <c r="HI811" s="615"/>
      <c r="HJ811" s="615"/>
      <c r="HK811" s="615"/>
      <c r="HL811" s="615"/>
      <c r="HM811" s="615"/>
      <c r="HN811" s="615"/>
      <c r="HO811" s="615"/>
      <c r="HP811" s="615"/>
      <c r="HQ811" s="615"/>
      <c r="HR811" s="615"/>
      <c r="HS811" s="615"/>
      <c r="HT811" s="615"/>
      <c r="HU811" s="615"/>
      <c r="HV811" s="615"/>
      <c r="HW811" s="615"/>
      <c r="HX811" s="615"/>
      <c r="HY811" s="615"/>
      <c r="HZ811" s="615"/>
      <c r="IA811" s="615"/>
      <c r="IB811" s="615"/>
      <c r="IC811" s="615"/>
      <c r="ID811" s="615"/>
      <c r="IK811" s="29"/>
      <c r="IL811" s="29"/>
      <c r="JB811" s="29"/>
    </row>
    <row r="812" spans="1:262" ht="12" customHeight="1">
      <c r="A812" s="1158"/>
      <c r="B812" s="1158"/>
      <c r="C812" s="1157"/>
      <c r="D812" s="1157"/>
      <c r="E812" s="1157"/>
      <c r="F812" s="533"/>
      <c r="H812" s="54" t="s">
        <v>120</v>
      </c>
      <c r="J812" s="1564">
        <f>BK791</f>
        <v>0</v>
      </c>
      <c r="K812" s="1564">
        <f>BL791</f>
        <v>0</v>
      </c>
      <c r="L812" s="1564">
        <f>BM791</f>
        <v>0</v>
      </c>
      <c r="M812" s="1564">
        <f>BN791</f>
        <v>0</v>
      </c>
      <c r="N812" s="1564">
        <f>BO791</f>
        <v>0</v>
      </c>
      <c r="O812" s="1564">
        <f>SUM(J812:N812)</f>
        <v>0</v>
      </c>
      <c r="R812" s="1565"/>
      <c r="S812" s="1565"/>
      <c r="T812" s="1565"/>
      <c r="U812" s="1477"/>
      <c r="V812" s="1477"/>
      <c r="W812" s="54"/>
      <c r="X812" s="533"/>
      <c r="Y812" s="109"/>
      <c r="Z812" s="533"/>
      <c r="AA812" s="54"/>
      <c r="AB812" s="757"/>
      <c r="AC812" s="757"/>
      <c r="AD812" s="757"/>
      <c r="AE812" s="757"/>
      <c r="AF812" s="757"/>
      <c r="AG812" s="757"/>
      <c r="AH812" s="54"/>
      <c r="AI812" s="533"/>
      <c r="GT812" s="615"/>
      <c r="GY812" s="615"/>
      <c r="GZ812" s="615"/>
      <c r="HA812" s="615"/>
      <c r="HB812" s="615"/>
      <c r="HC812" s="615"/>
      <c r="HD812" s="615"/>
      <c r="HE812" s="615"/>
      <c r="HF812" s="615"/>
      <c r="HG812" s="615"/>
      <c r="HH812" s="615"/>
      <c r="HI812" s="615"/>
      <c r="HJ812" s="615"/>
      <c r="HK812" s="615"/>
      <c r="HL812" s="615"/>
      <c r="HM812" s="615"/>
      <c r="HN812" s="615"/>
      <c r="HO812" s="615"/>
      <c r="HP812" s="615"/>
      <c r="HQ812" s="615"/>
      <c r="HR812" s="615"/>
      <c r="HS812" s="615"/>
      <c r="HT812" s="615"/>
      <c r="HU812" s="615"/>
      <c r="HV812" s="615"/>
      <c r="HW812" s="615"/>
      <c r="HX812" s="615"/>
      <c r="HY812" s="615"/>
      <c r="HZ812" s="615"/>
      <c r="IA812" s="615"/>
      <c r="IB812" s="615"/>
      <c r="IC812" s="615"/>
      <c r="ID812" s="615"/>
      <c r="IK812" s="29"/>
      <c r="IL812" s="29"/>
      <c r="JB812" s="29"/>
    </row>
    <row r="813" spans="1:262" ht="12" customHeight="1">
      <c r="A813" s="1158"/>
      <c r="B813" s="1158"/>
      <c r="C813" s="54" t="s">
        <v>2599</v>
      </c>
      <c r="D813" s="533"/>
      <c r="E813" s="109"/>
      <c r="F813" s="533"/>
      <c r="H813" s="54" t="s">
        <v>558</v>
      </c>
      <c r="J813" s="1564">
        <f>SUM(J811:J812)</f>
        <v>0</v>
      </c>
      <c r="K813" s="1564">
        <f>SUM(K811:K812)</f>
        <v>0</v>
      </c>
      <c r="L813" s="1564">
        <f>SUM(L811:L812)</f>
        <v>0</v>
      </c>
      <c r="M813" s="1564">
        <f>SUM(M811:M812)</f>
        <v>0</v>
      </c>
      <c r="N813" s="1564">
        <f>SUM(N811:N812)</f>
        <v>0</v>
      </c>
      <c r="O813" s="1564">
        <f>SUM(J813:N813)</f>
        <v>0</v>
      </c>
      <c r="R813" s="1565"/>
      <c r="S813" s="1565"/>
      <c r="T813" s="1565"/>
      <c r="U813" s="1477"/>
      <c r="V813" s="1477"/>
      <c r="W813" s="10"/>
      <c r="X813" s="533"/>
      <c r="Y813" s="109"/>
      <c r="Z813" s="533"/>
      <c r="AA813" s="54"/>
      <c r="AB813" s="757"/>
      <c r="AC813" s="757"/>
      <c r="AD813" s="757"/>
      <c r="AE813" s="757"/>
      <c r="AF813" s="757"/>
      <c r="AG813" s="757"/>
      <c r="AH813" s="54"/>
      <c r="AI813" s="533"/>
      <c r="GT813" s="615"/>
      <c r="GY813" s="615"/>
      <c r="GZ813" s="615"/>
      <c r="HA813" s="615"/>
      <c r="HB813" s="615"/>
      <c r="HC813" s="615"/>
      <c r="HD813" s="615"/>
      <c r="HE813" s="615"/>
      <c r="HF813" s="615"/>
      <c r="HG813" s="615"/>
      <c r="HH813" s="615"/>
      <c r="HI813" s="615"/>
      <c r="HJ813" s="615"/>
      <c r="HK813" s="615"/>
      <c r="HL813" s="615"/>
      <c r="HM813" s="615"/>
      <c r="HN813" s="615"/>
      <c r="HO813" s="615"/>
      <c r="HP813" s="615"/>
      <c r="HQ813" s="615"/>
      <c r="HR813" s="615"/>
      <c r="HS813" s="615"/>
      <c r="HT813" s="615"/>
      <c r="HU813" s="615"/>
      <c r="HV813" s="615"/>
      <c r="HW813" s="615"/>
      <c r="HX813" s="615"/>
      <c r="HY813" s="615"/>
      <c r="HZ813" s="615"/>
      <c r="IA813" s="615"/>
      <c r="IB813" s="615"/>
      <c r="IC813" s="615"/>
      <c r="ID813" s="615"/>
      <c r="IK813" s="29"/>
      <c r="IL813" s="29"/>
      <c r="JB813" s="29"/>
    </row>
    <row r="814" spans="1:262" ht="9" customHeight="1">
      <c r="A814" s="1158"/>
      <c r="B814" s="1158"/>
      <c r="D814" s="1157"/>
      <c r="E814" s="109"/>
      <c r="F814" s="533"/>
      <c r="H814" s="54"/>
      <c r="J814" s="1566"/>
      <c r="K814" s="1566"/>
      <c r="L814" s="1566"/>
      <c r="M814" s="1566"/>
      <c r="N814" s="1566"/>
      <c r="O814" s="1566"/>
      <c r="R814" s="1565"/>
      <c r="S814" s="1565"/>
      <c r="T814" s="1565"/>
      <c r="U814" s="338" t="str">
        <f>C815</f>
        <v>Type of Construction Activity</v>
      </c>
      <c r="W814" s="533"/>
      <c r="X814" s="533"/>
      <c r="Y814" s="109"/>
      <c r="Z814" s="533"/>
      <c r="AA814" s="54"/>
      <c r="AB814" s="533"/>
      <c r="AC814" s="533"/>
      <c r="AD814" s="533"/>
      <c r="AE814" s="533"/>
      <c r="AF814" s="533"/>
      <c r="AG814" s="533"/>
      <c r="AI814" s="533"/>
      <c r="GT814" s="615"/>
      <c r="GY814" s="615"/>
      <c r="GZ814" s="615"/>
      <c r="HA814" s="615"/>
      <c r="HB814" s="615"/>
      <c r="HC814" s="615"/>
      <c r="HD814" s="615"/>
      <c r="HE814" s="615"/>
      <c r="HF814" s="615"/>
      <c r="HG814" s="615"/>
      <c r="HH814" s="615"/>
      <c r="HI814" s="615"/>
      <c r="HJ814" s="615"/>
      <c r="HK814" s="615"/>
      <c r="HL814" s="615"/>
      <c r="HM814" s="615"/>
      <c r="HN814" s="615"/>
      <c r="HO814" s="615"/>
      <c r="HP814" s="615"/>
      <c r="HQ814" s="615"/>
      <c r="HR814" s="615"/>
      <c r="HS814" s="615"/>
      <c r="HT814" s="615"/>
      <c r="HU814" s="615"/>
      <c r="HV814" s="615"/>
      <c r="HW814" s="615"/>
      <c r="HX814" s="615"/>
      <c r="HY814" s="615"/>
      <c r="HZ814" s="615"/>
      <c r="IA814" s="615"/>
      <c r="IB814" s="615"/>
      <c r="IC814" s="615"/>
      <c r="ID814" s="615"/>
      <c r="IK814" s="29"/>
      <c r="IL814" s="29"/>
      <c r="JB814" s="29"/>
    </row>
    <row r="815" spans="1:262" ht="12" customHeight="1">
      <c r="A815" s="1158"/>
      <c r="B815" s="1158"/>
      <c r="C815" s="1477" t="s">
        <v>40</v>
      </c>
      <c r="D815" s="1477"/>
      <c r="E815" s="109" t="s">
        <v>2375</v>
      </c>
      <c r="F815" s="533"/>
      <c r="H815" s="54" t="s">
        <v>1486</v>
      </c>
      <c r="J815" s="1564">
        <f>DD791</f>
        <v>0</v>
      </c>
      <c r="K815" s="1564">
        <f>DE791</f>
        <v>0</v>
      </c>
      <c r="L815" s="1564">
        <f>DF791</f>
        <v>0</v>
      </c>
      <c r="M815" s="1564">
        <f>DG791</f>
        <v>0</v>
      </c>
      <c r="N815" s="1564">
        <f>DH791</f>
        <v>0</v>
      </c>
      <c r="O815" s="1564">
        <f t="shared" ref="O815:O825" si="263">SUM(J815:N815)</f>
        <v>0</v>
      </c>
      <c r="R815" s="1565"/>
      <c r="S815" s="1565"/>
      <c r="T815" s="1565"/>
      <c r="U815" s="1477">
        <f>'Part VI-Revenues &amp; Expenses'!U72</f>
        <v>0</v>
      </c>
      <c r="V815" s="1477"/>
      <c r="W815" s="533"/>
      <c r="X815" s="533"/>
      <c r="Y815" s="109"/>
      <c r="Z815" s="533"/>
      <c r="AA815" s="54"/>
      <c r="AB815" s="757"/>
      <c r="AC815" s="757"/>
      <c r="AD815" s="757"/>
      <c r="AE815" s="757"/>
      <c r="AF815" s="757"/>
      <c r="AG815" s="757"/>
      <c r="IK815" s="29"/>
      <c r="IL815" s="29"/>
      <c r="JB815" s="29"/>
    </row>
    <row r="816" spans="1:262" ht="12" customHeight="1">
      <c r="A816" s="1158"/>
      <c r="B816" s="1158"/>
      <c r="C816" s="1477"/>
      <c r="D816" s="1477"/>
      <c r="E816" s="109"/>
      <c r="F816" s="533"/>
      <c r="H816" s="54" t="s">
        <v>316</v>
      </c>
      <c r="J816" s="1564">
        <f>DI791</f>
        <v>0</v>
      </c>
      <c r="K816" s="1564">
        <f>DJ791</f>
        <v>0</v>
      </c>
      <c r="L816" s="1564">
        <f>DK791</f>
        <v>0</v>
      </c>
      <c r="M816" s="1564">
        <f>DL791</f>
        <v>0</v>
      </c>
      <c r="N816" s="1564">
        <f>DM791</f>
        <v>0</v>
      </c>
      <c r="O816" s="1564">
        <f t="shared" si="263"/>
        <v>0</v>
      </c>
      <c r="R816" s="1565"/>
      <c r="S816" s="1565"/>
      <c r="T816" s="1565"/>
      <c r="U816" s="1477"/>
      <c r="V816" s="1477"/>
      <c r="W816" s="533"/>
      <c r="X816" s="533"/>
      <c r="Y816" s="109"/>
      <c r="Z816" s="533"/>
      <c r="AA816" s="54"/>
      <c r="AB816" s="757"/>
      <c r="AC816" s="757"/>
      <c r="AD816" s="757"/>
      <c r="AE816" s="757"/>
      <c r="AF816" s="757"/>
      <c r="AG816" s="757"/>
      <c r="AH816" s="467"/>
      <c r="AI816" s="533"/>
      <c r="GT816" s="615"/>
      <c r="GY816" s="615"/>
      <c r="GZ816" s="615"/>
      <c r="HA816" s="615"/>
      <c r="HB816" s="615"/>
      <c r="HC816" s="615"/>
      <c r="HD816" s="615"/>
      <c r="HE816" s="615"/>
      <c r="HF816" s="615"/>
      <c r="HG816" s="615"/>
      <c r="HH816" s="615"/>
      <c r="HI816" s="615"/>
      <c r="HJ816" s="615"/>
      <c r="HK816" s="615"/>
      <c r="HL816" s="615"/>
      <c r="HM816" s="615"/>
      <c r="HN816" s="615"/>
      <c r="HO816" s="615"/>
      <c r="HP816" s="615"/>
      <c r="HQ816" s="615"/>
      <c r="HR816" s="615"/>
      <c r="HS816" s="615"/>
      <c r="HT816" s="615"/>
      <c r="HU816" s="615"/>
      <c r="HV816" s="615"/>
      <c r="HW816" s="615"/>
      <c r="HX816" s="615"/>
      <c r="HY816" s="615"/>
      <c r="HZ816" s="615"/>
      <c r="IA816" s="615"/>
      <c r="IB816" s="615"/>
      <c r="IC816" s="615"/>
      <c r="ID816" s="615"/>
      <c r="IK816" s="29"/>
      <c r="IL816" s="29"/>
      <c r="JB816" s="29"/>
    </row>
    <row r="817" spans="1:262" ht="12" customHeight="1">
      <c r="A817" s="1158"/>
      <c r="B817" s="1158"/>
      <c r="C817" s="1477"/>
      <c r="D817" s="1477"/>
      <c r="E817" s="109"/>
      <c r="F817" s="533"/>
      <c r="H817" s="54" t="s">
        <v>33</v>
      </c>
      <c r="J817" s="1564">
        <f>SUM(J815:J816)+DN791</f>
        <v>0</v>
      </c>
      <c r="K817" s="1564">
        <f>SUM(K815:K816)+DO791</f>
        <v>0</v>
      </c>
      <c r="L817" s="1564">
        <f>SUM(L815:L816)+DP791</f>
        <v>0</v>
      </c>
      <c r="M817" s="1564">
        <f>SUM(M815:M816)+DQ791</f>
        <v>0</v>
      </c>
      <c r="N817" s="1564">
        <f>SUM(N815:N816)+DR791</f>
        <v>0</v>
      </c>
      <c r="O817" s="1564">
        <f t="shared" si="263"/>
        <v>0</v>
      </c>
      <c r="R817" s="1565"/>
      <c r="S817" s="1565"/>
      <c r="T817" s="1565"/>
      <c r="U817" s="1477"/>
      <c r="V817" s="1477"/>
      <c r="W817" s="10"/>
      <c r="X817" s="533"/>
      <c r="Y817" s="109"/>
      <c r="Z817" s="533"/>
      <c r="AA817" s="54"/>
      <c r="AB817" s="757"/>
      <c r="AC817" s="757"/>
      <c r="AD817" s="757"/>
      <c r="AE817" s="757"/>
      <c r="AF817" s="757"/>
      <c r="AG817" s="757"/>
      <c r="AH817" s="54"/>
      <c r="AI817" s="533"/>
      <c r="GT817" s="615"/>
      <c r="GY817" s="615"/>
      <c r="GZ817" s="615"/>
      <c r="HA817" s="615"/>
      <c r="HB817" s="615"/>
      <c r="HC817" s="615"/>
      <c r="HD817" s="615"/>
      <c r="HE817" s="615"/>
      <c r="HF817" s="615"/>
      <c r="HG817" s="615"/>
      <c r="HH817" s="615"/>
      <c r="HI817" s="615"/>
      <c r="HJ817" s="615"/>
      <c r="HK817" s="615"/>
      <c r="HL817" s="615"/>
      <c r="HM817" s="615"/>
      <c r="HN817" s="615"/>
      <c r="HO817" s="615"/>
      <c r="HP817" s="615"/>
      <c r="HQ817" s="615"/>
      <c r="HR817" s="615"/>
      <c r="HS817" s="615"/>
      <c r="HT817" s="615"/>
      <c r="HU817" s="615"/>
      <c r="HV817" s="615"/>
      <c r="HW817" s="615"/>
      <c r="HX817" s="615"/>
      <c r="HY817" s="615"/>
      <c r="HZ817" s="615"/>
      <c r="IA817" s="615"/>
      <c r="IB817" s="615"/>
      <c r="IC817" s="615"/>
      <c r="ID817" s="615"/>
      <c r="IK817" s="29"/>
      <c r="IL817" s="29"/>
      <c r="JB817" s="29"/>
    </row>
    <row r="818" spans="1:262" ht="12" customHeight="1">
      <c r="A818" s="1158"/>
      <c r="B818" s="1158"/>
      <c r="C818" s="1477"/>
      <c r="D818" s="1477"/>
      <c r="E818" s="109" t="s">
        <v>2215</v>
      </c>
      <c r="F818" s="533"/>
      <c r="H818" s="54" t="s">
        <v>1486</v>
      </c>
      <c r="J818" s="1564">
        <f>DS791</f>
        <v>3</v>
      </c>
      <c r="K818" s="1564">
        <f>DT791</f>
        <v>205</v>
      </c>
      <c r="L818" s="1564">
        <f>DU791</f>
        <v>0</v>
      </c>
      <c r="M818" s="1564">
        <f>DV791</f>
        <v>0</v>
      </c>
      <c r="N818" s="1564">
        <f>DW791</f>
        <v>0</v>
      </c>
      <c r="O818" s="1564">
        <f t="shared" si="263"/>
        <v>208</v>
      </c>
      <c r="R818" s="1565"/>
      <c r="S818" s="1565"/>
      <c r="T818" s="1565"/>
      <c r="U818" s="1477"/>
      <c r="V818" s="1477"/>
      <c r="W818" s="533"/>
      <c r="X818" s="533"/>
      <c r="Y818" s="109"/>
      <c r="Z818" s="533"/>
      <c r="AA818" s="54"/>
      <c r="AB818" s="757"/>
      <c r="AC818" s="757"/>
      <c r="AD818" s="757"/>
      <c r="AE818" s="757"/>
      <c r="AF818" s="757"/>
      <c r="AG818" s="757"/>
      <c r="IK818" s="29"/>
      <c r="IL818" s="29"/>
      <c r="JB818" s="29"/>
    </row>
    <row r="819" spans="1:262" ht="12" customHeight="1">
      <c r="A819" s="1158"/>
      <c r="B819" s="1158"/>
      <c r="C819" s="1477"/>
      <c r="D819" s="1477"/>
      <c r="E819" s="109"/>
      <c r="F819" s="533"/>
      <c r="H819" s="54" t="s">
        <v>316</v>
      </c>
      <c r="J819" s="1564">
        <f>DX791</f>
        <v>0</v>
      </c>
      <c r="K819" s="1564">
        <f>DY791</f>
        <v>0</v>
      </c>
      <c r="L819" s="1564">
        <f>DZ791</f>
        <v>0</v>
      </c>
      <c r="M819" s="1564">
        <f>EA791</f>
        <v>0</v>
      </c>
      <c r="N819" s="1564">
        <f>EB791</f>
        <v>0</v>
      </c>
      <c r="O819" s="1564">
        <f t="shared" si="263"/>
        <v>0</v>
      </c>
      <c r="R819" s="1565"/>
      <c r="S819" s="1565"/>
      <c r="T819" s="1565"/>
      <c r="U819" s="1477"/>
      <c r="V819" s="1477"/>
      <c r="W819" s="533"/>
      <c r="X819" s="533"/>
      <c r="Y819" s="109"/>
      <c r="Z819" s="533"/>
      <c r="AA819" s="54"/>
      <c r="AB819" s="757"/>
      <c r="AC819" s="757"/>
      <c r="AD819" s="757"/>
      <c r="AE819" s="757"/>
      <c r="AF819" s="757"/>
      <c r="AG819" s="757"/>
      <c r="AH819" s="467"/>
      <c r="AI819" s="533"/>
      <c r="GT819" s="615"/>
      <c r="GY819" s="615"/>
      <c r="GZ819" s="615"/>
      <c r="HA819" s="615"/>
      <c r="HB819" s="615"/>
      <c r="HC819" s="615"/>
      <c r="HD819" s="615"/>
      <c r="HE819" s="615"/>
      <c r="HF819" s="615"/>
      <c r="HG819" s="615"/>
      <c r="HH819" s="615"/>
      <c r="HI819" s="615"/>
      <c r="HJ819" s="615"/>
      <c r="HK819" s="615"/>
      <c r="HL819" s="615"/>
      <c r="HM819" s="615"/>
      <c r="HN819" s="615"/>
      <c r="HO819" s="615"/>
      <c r="HP819" s="615"/>
      <c r="HQ819" s="615"/>
      <c r="HR819" s="615"/>
      <c r="HS819" s="615"/>
      <c r="HT819" s="615"/>
      <c r="HU819" s="615"/>
      <c r="HV819" s="615"/>
      <c r="HW819" s="615"/>
      <c r="HX819" s="615"/>
      <c r="HY819" s="615"/>
      <c r="HZ819" s="615"/>
      <c r="IA819" s="615"/>
      <c r="IB819" s="615"/>
      <c r="IC819" s="615"/>
      <c r="ID819" s="615"/>
      <c r="IK819" s="29"/>
      <c r="IL819" s="29"/>
      <c r="JB819" s="29"/>
    </row>
    <row r="820" spans="1:262" ht="12" customHeight="1">
      <c r="A820" s="1158"/>
      <c r="B820" s="1158"/>
      <c r="C820" s="1477"/>
      <c r="D820" s="1477"/>
      <c r="E820" s="109"/>
      <c r="F820" s="533"/>
      <c r="H820" s="54" t="s">
        <v>33</v>
      </c>
      <c r="J820" s="1564">
        <f>SUM(J818:J819)+EC791</f>
        <v>3</v>
      </c>
      <c r="K820" s="1564">
        <f>SUM(K818:K819)+ED791</f>
        <v>205</v>
      </c>
      <c r="L820" s="1564">
        <f>SUM(L818:L819)+EE791</f>
        <v>0</v>
      </c>
      <c r="M820" s="1564">
        <f>SUM(M818:M819)+EF791</f>
        <v>0</v>
      </c>
      <c r="N820" s="1564">
        <f>SUM(N818:N819)+EG791</f>
        <v>0</v>
      </c>
      <c r="O820" s="1564">
        <f t="shared" si="263"/>
        <v>208</v>
      </c>
      <c r="R820" s="1565"/>
      <c r="S820" s="1565"/>
      <c r="T820" s="1565"/>
      <c r="U820" s="1477"/>
      <c r="V820" s="1477"/>
      <c r="W820" s="10"/>
      <c r="X820" s="533"/>
      <c r="Y820" s="109"/>
      <c r="Z820" s="533"/>
      <c r="AA820" s="54"/>
      <c r="AB820" s="757"/>
      <c r="AC820" s="757"/>
      <c r="AD820" s="757"/>
      <c r="AE820" s="757"/>
      <c r="AF820" s="757"/>
      <c r="AG820" s="757"/>
      <c r="AH820" s="54"/>
      <c r="AI820" s="533"/>
      <c r="GT820" s="615"/>
      <c r="GY820" s="615"/>
      <c r="GZ820" s="615"/>
      <c r="HA820" s="615"/>
      <c r="HB820" s="615"/>
      <c r="HC820" s="615"/>
      <c r="HD820" s="615"/>
      <c r="HE820" s="615"/>
      <c r="HF820" s="615"/>
      <c r="HG820" s="615"/>
      <c r="HH820" s="615"/>
      <c r="HI820" s="615"/>
      <c r="HJ820" s="615"/>
      <c r="HK820" s="615"/>
      <c r="HL820" s="615"/>
      <c r="HM820" s="615"/>
      <c r="HN820" s="615"/>
      <c r="HO820" s="615"/>
      <c r="HP820" s="615"/>
      <c r="HQ820" s="615"/>
      <c r="HR820" s="615"/>
      <c r="HS820" s="615"/>
      <c r="HT820" s="615"/>
      <c r="HU820" s="615"/>
      <c r="HV820" s="615"/>
      <c r="HW820" s="615"/>
      <c r="HX820" s="615"/>
      <c r="HY820" s="615"/>
      <c r="HZ820" s="615"/>
      <c r="IA820" s="615"/>
      <c r="IB820" s="615"/>
      <c r="IC820" s="615"/>
      <c r="ID820" s="615"/>
      <c r="IK820" s="29"/>
      <c r="IL820" s="29"/>
      <c r="JB820" s="29"/>
    </row>
    <row r="821" spans="1:262" ht="12" customHeight="1">
      <c r="A821" s="1158"/>
      <c r="B821" s="1158"/>
      <c r="C821" s="1482"/>
      <c r="D821" s="533"/>
      <c r="E821" s="1482" t="s">
        <v>1473</v>
      </c>
      <c r="F821" s="1482"/>
      <c r="H821" s="54" t="s">
        <v>1486</v>
      </c>
      <c r="J821" s="1564">
        <f>EH791</f>
        <v>0</v>
      </c>
      <c r="K821" s="1564">
        <f>EI791</f>
        <v>0</v>
      </c>
      <c r="L821" s="1564">
        <f>EJ791</f>
        <v>0</v>
      </c>
      <c r="M821" s="1564">
        <f>EK791</f>
        <v>0</v>
      </c>
      <c r="N821" s="1564">
        <f>EL791</f>
        <v>0</v>
      </c>
      <c r="O821" s="1564">
        <f t="shared" si="263"/>
        <v>0</v>
      </c>
      <c r="R821" s="1565"/>
      <c r="S821" s="1565"/>
      <c r="T821" s="1565"/>
      <c r="U821" s="1477"/>
      <c r="V821" s="1477"/>
      <c r="W821" s="533"/>
      <c r="X821" s="533"/>
      <c r="Y821" s="109"/>
      <c r="Z821" s="533"/>
      <c r="AA821" s="54"/>
      <c r="AB821" s="757"/>
      <c r="AC821" s="757"/>
      <c r="AD821" s="757"/>
      <c r="AE821" s="757"/>
      <c r="AF821" s="757"/>
      <c r="AG821" s="757"/>
      <c r="IK821" s="29"/>
      <c r="IL821" s="29"/>
      <c r="JB821" s="29"/>
    </row>
    <row r="822" spans="1:262" ht="12" customHeight="1">
      <c r="A822" s="1158"/>
      <c r="B822" s="1158"/>
      <c r="C822" s="1482"/>
      <c r="D822" s="533"/>
      <c r="E822" s="1482"/>
      <c r="F822" s="1482"/>
      <c r="H822" s="54" t="s">
        <v>316</v>
      </c>
      <c r="J822" s="1564">
        <f>EM791</f>
        <v>0</v>
      </c>
      <c r="K822" s="1564">
        <f>EN791</f>
        <v>0</v>
      </c>
      <c r="L822" s="1564">
        <f>EO791</f>
        <v>0</v>
      </c>
      <c r="M822" s="1564">
        <f>EP791</f>
        <v>0</v>
      </c>
      <c r="N822" s="1564">
        <f>EQ791</f>
        <v>0</v>
      </c>
      <c r="O822" s="1564">
        <f t="shared" si="263"/>
        <v>0</v>
      </c>
      <c r="R822" s="1565"/>
      <c r="S822" s="1565"/>
      <c r="T822" s="1565"/>
      <c r="U822" s="1477"/>
      <c r="V822" s="1477"/>
      <c r="W822" s="533"/>
      <c r="X822" s="533"/>
      <c r="Y822" s="533"/>
      <c r="Z822" s="533"/>
      <c r="AA822" s="54"/>
      <c r="AB822" s="757"/>
      <c r="AC822" s="757"/>
      <c r="AD822" s="757"/>
      <c r="AE822" s="757"/>
      <c r="AF822" s="757"/>
      <c r="AG822" s="757"/>
      <c r="AH822" s="467"/>
      <c r="AI822" s="533"/>
      <c r="GT822" s="615"/>
      <c r="GY822" s="615"/>
      <c r="GZ822" s="615"/>
      <c r="HA822" s="615"/>
      <c r="HB822" s="615"/>
      <c r="HC822" s="615"/>
      <c r="HD822" s="615"/>
      <c r="HE822" s="615"/>
      <c r="HF822" s="615"/>
      <c r="HG822" s="615"/>
      <c r="HH822" s="615"/>
      <c r="HI822" s="615"/>
      <c r="HJ822" s="615"/>
      <c r="HK822" s="615"/>
      <c r="HL822" s="615"/>
      <c r="HM822" s="615"/>
      <c r="HN822" s="615"/>
      <c r="HO822" s="615"/>
      <c r="HP822" s="615"/>
      <c r="HQ822" s="615"/>
      <c r="HR822" s="615"/>
      <c r="HS822" s="615"/>
      <c r="HT822" s="615"/>
      <c r="HU822" s="615"/>
      <c r="HV822" s="615"/>
      <c r="HW822" s="615"/>
      <c r="HX822" s="615"/>
      <c r="HY822" s="615"/>
      <c r="HZ822" s="615"/>
      <c r="IA822" s="615"/>
      <c r="IB822" s="615"/>
      <c r="IC822" s="615"/>
      <c r="ID822" s="615"/>
      <c r="IK822" s="29"/>
      <c r="IL822" s="29"/>
      <c r="JB822" s="29"/>
    </row>
    <row r="823" spans="1:262" ht="12" customHeight="1">
      <c r="A823" s="1158"/>
      <c r="B823" s="1158"/>
      <c r="C823" s="1482"/>
      <c r="D823" s="533"/>
      <c r="E823" s="109"/>
      <c r="F823" s="533"/>
      <c r="H823" s="54" t="s">
        <v>33</v>
      </c>
      <c r="J823" s="1564">
        <f>SUM(J821:J822)+ER791</f>
        <v>0</v>
      </c>
      <c r="K823" s="1564">
        <f>SUM(K821:K822)+ES791</f>
        <v>0</v>
      </c>
      <c r="L823" s="1564">
        <f>SUM(L821:L822)+ET791</f>
        <v>0</v>
      </c>
      <c r="M823" s="1564">
        <f>SUM(M821:M822)+EU791</f>
        <v>0</v>
      </c>
      <c r="N823" s="1564">
        <f>SUM(N821:N822)+EV791</f>
        <v>0</v>
      </c>
      <c r="O823" s="1564">
        <f t="shared" si="263"/>
        <v>0</v>
      </c>
      <c r="R823" s="1565"/>
      <c r="S823" s="1565"/>
      <c r="T823" s="1565"/>
      <c r="U823" s="1477"/>
      <c r="V823" s="1477"/>
      <c r="W823" s="10"/>
      <c r="X823" s="533"/>
      <c r="Y823" s="109"/>
      <c r="Z823" s="533"/>
      <c r="AA823" s="54"/>
      <c r="AB823" s="757"/>
      <c r="AC823" s="757"/>
      <c r="AD823" s="757"/>
      <c r="AE823" s="757"/>
      <c r="AF823" s="757"/>
      <c r="AG823" s="757"/>
      <c r="AH823" s="54"/>
      <c r="AI823" s="533"/>
      <c r="GT823" s="615"/>
      <c r="GY823" s="615"/>
      <c r="GZ823" s="615"/>
      <c r="HA823" s="615"/>
      <c r="HB823" s="615"/>
      <c r="HC823" s="615"/>
      <c r="HD823" s="615"/>
      <c r="HE823" s="615"/>
      <c r="HF823" s="615"/>
      <c r="HG823" s="615"/>
      <c r="HH823" s="615"/>
      <c r="HI823" s="615"/>
      <c r="HJ823" s="615"/>
      <c r="HK823" s="615"/>
      <c r="HL823" s="615"/>
      <c r="HM823" s="615"/>
      <c r="HN823" s="615"/>
      <c r="HO823" s="615"/>
      <c r="HP823" s="615"/>
      <c r="HQ823" s="615"/>
      <c r="HR823" s="615"/>
      <c r="HS823" s="615"/>
      <c r="HT823" s="615"/>
      <c r="HU823" s="615"/>
      <c r="HV823" s="615"/>
      <c r="HW823" s="615"/>
      <c r="HX823" s="615"/>
      <c r="HY823" s="615"/>
      <c r="HZ823" s="615"/>
      <c r="IA823" s="615"/>
      <c r="IB823" s="615"/>
      <c r="IC823" s="615"/>
      <c r="ID823" s="615"/>
      <c r="IK823" s="29"/>
      <c r="IL823" s="29"/>
      <c r="JB823" s="29"/>
    </row>
    <row r="824" spans="1:262" ht="12" customHeight="1">
      <c r="A824" s="1158"/>
      <c r="B824" s="1158"/>
      <c r="C824" s="1482"/>
      <c r="D824" s="533"/>
      <c r="E824" s="109" t="s">
        <v>379</v>
      </c>
      <c r="F824" s="533"/>
      <c r="G824" s="573"/>
      <c r="J824" s="1564">
        <f>'Part VI-Revenues &amp; Expenses'!J81</f>
        <v>0</v>
      </c>
      <c r="K824" s="1564">
        <f>'Part VI-Revenues &amp; Expenses'!K81</f>
        <v>0</v>
      </c>
      <c r="L824" s="1564">
        <f>'Part VI-Revenues &amp; Expenses'!L81</f>
        <v>0</v>
      </c>
      <c r="M824" s="1564">
        <f>'Part VI-Revenues &amp; Expenses'!M81</f>
        <v>0</v>
      </c>
      <c r="N824" s="1564">
        <f>'Part VI-Revenues &amp; Expenses'!N81</f>
        <v>0</v>
      </c>
      <c r="O824" s="1564">
        <f t="shared" si="263"/>
        <v>0</v>
      </c>
      <c r="U824" s="1477"/>
      <c r="V824" s="1477"/>
      <c r="W824" s="533"/>
      <c r="X824" s="533"/>
      <c r="Y824" s="533"/>
      <c r="Z824" s="533"/>
      <c r="AA824" s="54"/>
      <c r="AB824" s="757"/>
      <c r="AC824" s="757"/>
      <c r="AD824" s="757"/>
      <c r="AE824" s="757"/>
      <c r="AF824" s="757"/>
      <c r="AG824" s="757"/>
      <c r="AH824" s="467"/>
      <c r="AI824" s="533"/>
      <c r="GT824" s="615"/>
      <c r="GY824" s="615"/>
      <c r="GZ824" s="615"/>
      <c r="HA824" s="615"/>
      <c r="HB824" s="615"/>
      <c r="HC824" s="615"/>
      <c r="HD824" s="615"/>
      <c r="HE824" s="615"/>
      <c r="HF824" s="615"/>
      <c r="HG824" s="615"/>
      <c r="HH824" s="615"/>
      <c r="HI824" s="615"/>
      <c r="HJ824" s="615"/>
      <c r="HK824" s="615"/>
      <c r="HL824" s="615"/>
      <c r="HM824" s="615"/>
      <c r="HN824" s="615"/>
      <c r="HO824" s="615"/>
      <c r="HP824" s="615"/>
      <c r="HQ824" s="615"/>
      <c r="HR824" s="615"/>
      <c r="HS824" s="615"/>
      <c r="HT824" s="615"/>
      <c r="HU824" s="615"/>
      <c r="HV824" s="615"/>
      <c r="HW824" s="615"/>
      <c r="HX824" s="615"/>
      <c r="HY824" s="615"/>
      <c r="HZ824" s="615"/>
      <c r="IA824" s="615"/>
      <c r="IB824" s="615"/>
      <c r="IC824" s="615"/>
      <c r="ID824" s="615"/>
      <c r="IK824" s="29"/>
      <c r="IL824" s="29"/>
      <c r="JB824" s="29"/>
    </row>
    <row r="825" spans="1:262" ht="12" customHeight="1">
      <c r="A825" s="1567" t="str">
        <f>IF(AND('Part IV-Uses of Funds'!$T$164="Yes",'Part IX A-Scoring Criteria'!$O$314&gt;0,O825&lt;1),"SHOW HISTORIC UNITS HERE &gt;&gt;&gt;&gt;","")</f>
        <v/>
      </c>
      <c r="B825" s="1567"/>
      <c r="C825" s="1567"/>
      <c r="D825" s="1567"/>
      <c r="E825" s="109" t="s">
        <v>4169</v>
      </c>
      <c r="F825" s="533"/>
      <c r="G825" s="573"/>
      <c r="J825" s="1564">
        <f>'Part VI-Revenues &amp; Expenses'!J82</f>
        <v>0</v>
      </c>
      <c r="K825" s="1564">
        <f>'Part VI-Revenues &amp; Expenses'!K82</f>
        <v>0</v>
      </c>
      <c r="L825" s="1564">
        <f>'Part VI-Revenues &amp; Expenses'!L82</f>
        <v>0</v>
      </c>
      <c r="M825" s="1564">
        <f>'Part VI-Revenues &amp; Expenses'!M82</f>
        <v>0</v>
      </c>
      <c r="N825" s="1564">
        <f>'Part VI-Revenues &amp; Expenses'!N82</f>
        <v>0</v>
      </c>
      <c r="O825" s="1564">
        <f t="shared" si="263"/>
        <v>0</v>
      </c>
      <c r="U825" s="1477"/>
      <c r="V825" s="1477"/>
      <c r="W825" s="533"/>
      <c r="X825" s="533"/>
      <c r="Y825" s="533"/>
      <c r="Z825" s="533"/>
      <c r="AA825" s="54"/>
      <c r="AB825" s="757"/>
      <c r="AC825" s="757"/>
      <c r="AD825" s="757"/>
      <c r="AE825" s="757"/>
      <c r="AF825" s="757"/>
      <c r="AG825" s="757"/>
      <c r="AH825" s="467"/>
      <c r="AI825" s="533"/>
      <c r="GT825" s="615"/>
      <c r="GY825" s="615"/>
      <c r="GZ825" s="615"/>
      <c r="HA825" s="615"/>
      <c r="HB825" s="615"/>
      <c r="HC825" s="615"/>
      <c r="HD825" s="615"/>
      <c r="HE825" s="615"/>
      <c r="HF825" s="615"/>
      <c r="HG825" s="615"/>
      <c r="HH825" s="615"/>
      <c r="HI825" s="615"/>
      <c r="HJ825" s="615"/>
      <c r="HK825" s="615"/>
      <c r="HL825" s="615"/>
      <c r="HM825" s="615"/>
      <c r="HN825" s="615"/>
      <c r="HO825" s="615"/>
      <c r="HP825" s="615"/>
      <c r="HQ825" s="615"/>
      <c r="HR825" s="615"/>
      <c r="HS825" s="615"/>
      <c r="HT825" s="615"/>
      <c r="HU825" s="615"/>
      <c r="HV825" s="615"/>
      <c r="HW825" s="615"/>
      <c r="HX825" s="615"/>
      <c r="HY825" s="615"/>
      <c r="HZ825" s="615"/>
      <c r="IA825" s="615"/>
      <c r="IB825" s="615"/>
      <c r="IC825" s="615"/>
      <c r="ID825" s="615"/>
      <c r="IK825" s="29"/>
      <c r="IL825" s="29"/>
      <c r="JB825" s="29"/>
    </row>
    <row r="826" spans="1:262" ht="9" customHeight="1">
      <c r="A826" s="1568"/>
      <c r="B826" s="1568"/>
      <c r="C826" s="1568"/>
      <c r="D826" s="1568"/>
      <c r="E826" s="109"/>
      <c r="F826" s="533"/>
      <c r="G826" s="573"/>
      <c r="J826" s="54"/>
      <c r="K826" s="54"/>
      <c r="L826" s="54"/>
      <c r="M826" s="54"/>
      <c r="N826" s="54"/>
      <c r="O826" s="54"/>
      <c r="U826" s="1477"/>
      <c r="V826" s="1477"/>
      <c r="W826" s="533"/>
      <c r="X826" s="533"/>
      <c r="Y826" s="533"/>
      <c r="Z826" s="533"/>
      <c r="AA826" s="54"/>
      <c r="AB826" s="757"/>
      <c r="AC826" s="757"/>
      <c r="AD826" s="757"/>
      <c r="AE826" s="757"/>
      <c r="AF826" s="757"/>
      <c r="AG826" s="757"/>
      <c r="AH826" s="467"/>
      <c r="AI826" s="533"/>
      <c r="GT826" s="615"/>
      <c r="GY826" s="615"/>
      <c r="GZ826" s="615"/>
      <c r="HA826" s="615"/>
      <c r="HB826" s="615"/>
      <c r="HC826" s="615"/>
      <c r="HD826" s="615"/>
      <c r="HE826" s="615"/>
      <c r="HF826" s="615"/>
      <c r="HG826" s="615"/>
      <c r="HH826" s="615"/>
      <c r="HI826" s="615"/>
      <c r="HJ826" s="615"/>
      <c r="HK826" s="615"/>
      <c r="HL826" s="615"/>
      <c r="HM826" s="615"/>
      <c r="HN826" s="615"/>
      <c r="HO826" s="615"/>
      <c r="HP826" s="615"/>
      <c r="HQ826" s="615"/>
      <c r="HR826" s="615"/>
      <c r="HS826" s="615"/>
      <c r="HT826" s="615"/>
      <c r="HU826" s="615"/>
      <c r="HV826" s="615"/>
      <c r="HW826" s="615"/>
      <c r="HX826" s="615"/>
      <c r="HY826" s="615"/>
      <c r="HZ826" s="615"/>
      <c r="IA826" s="615"/>
      <c r="IB826" s="615"/>
      <c r="IC826" s="615"/>
      <c r="ID826" s="615"/>
      <c r="IK826" s="29"/>
      <c r="IL826" s="29"/>
      <c r="JB826" s="29"/>
    </row>
    <row r="827" spans="1:262" ht="12" customHeight="1">
      <c r="A827" s="1568"/>
      <c r="B827" s="1568"/>
      <c r="C827" s="1568"/>
      <c r="D827" s="1568"/>
      <c r="E827" s="109" t="s">
        <v>3545</v>
      </c>
      <c r="F827" s="533"/>
      <c r="G827" s="573"/>
      <c r="J827" s="1564">
        <f>J831+J833+J835+J837+J839+J841+J843+J845</f>
        <v>0</v>
      </c>
      <c r="K827" s="1564">
        <f>K831+K833+K835+K837+K839+K841+K843+K845</f>
        <v>0</v>
      </c>
      <c r="L827" s="1564">
        <f>L831+L833+L835+L837+L839+L841+L843+L845</f>
        <v>0</v>
      </c>
      <c r="M827" s="1564">
        <f>M831+M833+M835+M837+M839+M841+M843+M845</f>
        <v>0</v>
      </c>
      <c r="N827" s="1564">
        <f>N831+N833+N835+N837+N839+N841+N843+N845</f>
        <v>0</v>
      </c>
      <c r="O827" s="1564">
        <f>SUM(J827:N827)</f>
        <v>0</v>
      </c>
      <c r="U827" s="1477"/>
      <c r="V827" s="1477"/>
      <c r="W827" s="533"/>
      <c r="X827" s="533"/>
      <c r="Y827" s="533"/>
      <c r="Z827" s="533"/>
      <c r="AA827" s="54"/>
      <c r="AB827" s="757"/>
      <c r="AC827" s="757"/>
      <c r="AD827" s="757"/>
      <c r="AE827" s="757"/>
      <c r="AF827" s="757"/>
      <c r="AG827" s="757"/>
      <c r="AH827" s="467"/>
      <c r="AI827" s="533"/>
      <c r="GT827" s="615"/>
      <c r="GY827" s="615"/>
      <c r="GZ827" s="615"/>
      <c r="HA827" s="615"/>
      <c r="HB827" s="615"/>
      <c r="HC827" s="615"/>
      <c r="HD827" s="615"/>
      <c r="HE827" s="615"/>
      <c r="HF827" s="615"/>
      <c r="HG827" s="615"/>
      <c r="HH827" s="615"/>
      <c r="HI827" s="615"/>
      <c r="HJ827" s="615"/>
      <c r="HK827" s="615"/>
      <c r="HL827" s="615"/>
      <c r="HM827" s="615"/>
      <c r="HN827" s="615"/>
      <c r="HO827" s="615"/>
      <c r="HP827" s="615"/>
      <c r="HQ827" s="615"/>
      <c r="HR827" s="615"/>
      <c r="HS827" s="615"/>
      <c r="HT827" s="615"/>
      <c r="HU827" s="615"/>
      <c r="HV827" s="615"/>
      <c r="HW827" s="615"/>
      <c r="HX827" s="615"/>
      <c r="HY827" s="615"/>
      <c r="HZ827" s="615"/>
      <c r="IA827" s="615"/>
      <c r="IB827" s="615"/>
      <c r="IC827" s="615"/>
      <c r="ID827" s="615"/>
      <c r="IK827" s="29"/>
      <c r="IL827" s="29"/>
      <c r="JB827" s="29"/>
    </row>
    <row r="828" spans="1:262" ht="9.75" customHeight="1">
      <c r="D828" s="533"/>
      <c r="E828" s="109"/>
      <c r="F828" s="533"/>
      <c r="G828" s="573"/>
      <c r="J828" s="1566"/>
      <c r="K828" s="1566"/>
      <c r="L828" s="1566"/>
      <c r="M828" s="1566"/>
      <c r="N828" s="1566"/>
      <c r="O828" s="1566"/>
      <c r="R828" s="1565"/>
      <c r="S828" s="1565"/>
      <c r="T828" s="1565"/>
      <c r="U828" s="1442" t="str">
        <f>C829</f>
        <v>Building Type: (for Utility Allowance and other purposes)</v>
      </c>
      <c r="W828" s="533"/>
      <c r="X828" s="533"/>
      <c r="Y828" s="109"/>
      <c r="Z828" s="533"/>
      <c r="AA828" s="54"/>
      <c r="AB828" s="533"/>
      <c r="AC828" s="533"/>
      <c r="AD828" s="533"/>
      <c r="AE828" s="533"/>
      <c r="AF828" s="533"/>
      <c r="AG828" s="533"/>
      <c r="AI828" s="533"/>
      <c r="GT828" s="615"/>
      <c r="GY828" s="615"/>
      <c r="GZ828" s="615"/>
      <c r="HA828" s="615"/>
      <c r="HB828" s="615"/>
      <c r="HC828" s="615"/>
      <c r="HD828" s="615"/>
      <c r="HE828" s="615"/>
      <c r="HF828" s="615"/>
      <c r="HG828" s="615"/>
      <c r="HH828" s="615"/>
      <c r="HI828" s="615"/>
      <c r="HJ828" s="615"/>
      <c r="HK828" s="615"/>
      <c r="HL828" s="615"/>
      <c r="HM828" s="615"/>
      <c r="HN828" s="615"/>
      <c r="HO828" s="615"/>
      <c r="HP828" s="615"/>
      <c r="HQ828" s="615"/>
      <c r="HR828" s="615"/>
      <c r="HS828" s="615"/>
      <c r="HT828" s="615"/>
      <c r="HU828" s="615"/>
      <c r="HV828" s="615"/>
      <c r="HW828" s="615"/>
      <c r="HX828" s="615"/>
      <c r="HY828" s="615"/>
      <c r="HZ828" s="615"/>
      <c r="IA828" s="615"/>
      <c r="IB828" s="615"/>
      <c r="IC828" s="615"/>
      <c r="ID828" s="615"/>
      <c r="IK828" s="29"/>
      <c r="IL828" s="29"/>
      <c r="JB828" s="29"/>
    </row>
    <row r="829" spans="1:262" ht="12" customHeight="1">
      <c r="C829" s="1477" t="s">
        <v>3839</v>
      </c>
      <c r="D829" s="1477"/>
      <c r="E829" s="109" t="s">
        <v>41</v>
      </c>
      <c r="F829" s="533"/>
      <c r="G829" s="573"/>
      <c r="J829" s="1564">
        <f t="shared" ref="J829:O829" si="264">SUM(J830:J837)</f>
        <v>3</v>
      </c>
      <c r="K829" s="1564">
        <f t="shared" si="264"/>
        <v>205</v>
      </c>
      <c r="L829" s="1564">
        <f t="shared" si="264"/>
        <v>0</v>
      </c>
      <c r="M829" s="1564">
        <f t="shared" si="264"/>
        <v>0</v>
      </c>
      <c r="N829" s="1564">
        <f t="shared" si="264"/>
        <v>0</v>
      </c>
      <c r="O829" s="1564">
        <f t="shared" si="264"/>
        <v>208</v>
      </c>
      <c r="R829" s="1565"/>
      <c r="S829" s="1565"/>
      <c r="T829" s="1565"/>
      <c r="U829" s="1477">
        <f>'Part VI-Revenues &amp; Expenses'!U86</f>
        <v>0</v>
      </c>
      <c r="V829" s="1477"/>
      <c r="W829" s="533"/>
      <c r="X829" s="533"/>
      <c r="Y829" s="109"/>
      <c r="Z829" s="533"/>
      <c r="AA829" s="54"/>
      <c r="AB829" s="757"/>
      <c r="AC829" s="757"/>
      <c r="AD829" s="757"/>
      <c r="AE829" s="757"/>
      <c r="AF829" s="757"/>
      <c r="AG829" s="757"/>
      <c r="IK829" s="29"/>
      <c r="IL829" s="29"/>
      <c r="JB829" s="29"/>
    </row>
    <row r="830" spans="1:262" ht="12" customHeight="1">
      <c r="C830" s="1477"/>
      <c r="D830" s="1477"/>
      <c r="E830" s="109"/>
      <c r="F830" s="533"/>
      <c r="H830" s="1220" t="s">
        <v>2692</v>
      </c>
      <c r="J830" s="1564">
        <f>GP791</f>
        <v>0</v>
      </c>
      <c r="K830" s="1564">
        <f>GQ791</f>
        <v>0</v>
      </c>
      <c r="L830" s="1564">
        <f>GR791</f>
        <v>0</v>
      </c>
      <c r="M830" s="1564">
        <f>GS791</f>
        <v>0</v>
      </c>
      <c r="N830" s="1564">
        <f>GT791</f>
        <v>0</v>
      </c>
      <c r="O830" s="1564">
        <f t="shared" ref="O830:O845" si="265">SUM(J830:N830)</f>
        <v>0</v>
      </c>
      <c r="R830" s="1565"/>
      <c r="S830" s="1565"/>
      <c r="T830" s="1565"/>
      <c r="U830" s="1477"/>
      <c r="V830" s="1477"/>
      <c r="W830" s="533"/>
      <c r="X830" s="533"/>
      <c r="Y830" s="109"/>
      <c r="Z830" s="533"/>
      <c r="AA830" s="54"/>
      <c r="AB830" s="757"/>
      <c r="AC830" s="757"/>
      <c r="AD830" s="757"/>
      <c r="AE830" s="757"/>
      <c r="AF830" s="757"/>
      <c r="AG830" s="757"/>
      <c r="IK830" s="29"/>
      <c r="IL830" s="29"/>
      <c r="JB830" s="29"/>
    </row>
    <row r="831" spans="1:262" ht="12" customHeight="1">
      <c r="C831" s="1477"/>
      <c r="D831" s="1477"/>
      <c r="E831" s="109"/>
      <c r="F831" s="533"/>
      <c r="H831" s="101" t="s">
        <v>3545</v>
      </c>
      <c r="J831" s="1564">
        <f>GU791</f>
        <v>0</v>
      </c>
      <c r="K831" s="1564">
        <f>GV791</f>
        <v>0</v>
      </c>
      <c r="L831" s="1564">
        <f>GW791</f>
        <v>0</v>
      </c>
      <c r="M831" s="1564">
        <f>GX791</f>
        <v>0</v>
      </c>
      <c r="N831" s="1564">
        <f>GY791</f>
        <v>0</v>
      </c>
      <c r="O831" s="1564">
        <f t="shared" si="265"/>
        <v>0</v>
      </c>
      <c r="R831" s="1565"/>
      <c r="S831" s="1565"/>
      <c r="T831" s="1565"/>
      <c r="U831" s="1477"/>
      <c r="V831" s="1477"/>
      <c r="W831" s="533"/>
      <c r="X831" s="533"/>
      <c r="Y831" s="109"/>
      <c r="Z831" s="533"/>
      <c r="AA831" s="54"/>
      <c r="AB831" s="757"/>
      <c r="AC831" s="757"/>
      <c r="AD831" s="757"/>
      <c r="AE831" s="757"/>
      <c r="AF831" s="757"/>
      <c r="AG831" s="757"/>
      <c r="IK831" s="29"/>
      <c r="IL831" s="29"/>
      <c r="JB831" s="29"/>
    </row>
    <row r="832" spans="1:262" ht="12" customHeight="1">
      <c r="C832" s="1477"/>
      <c r="D832" s="1477"/>
      <c r="E832" s="109"/>
      <c r="F832" s="533"/>
      <c r="H832" s="1220" t="s">
        <v>2693</v>
      </c>
      <c r="J832" s="1564">
        <f>GZ791</f>
        <v>0</v>
      </c>
      <c r="K832" s="1564">
        <f>HA791</f>
        <v>0</v>
      </c>
      <c r="L832" s="1564">
        <f>HB791</f>
        <v>0</v>
      </c>
      <c r="M832" s="1564">
        <f>HC791</f>
        <v>0</v>
      </c>
      <c r="N832" s="1564">
        <f>HD791</f>
        <v>0</v>
      </c>
      <c r="O832" s="1564">
        <f t="shared" si="265"/>
        <v>0</v>
      </c>
      <c r="R832" s="1565"/>
      <c r="S832" s="1565"/>
      <c r="T832" s="1565"/>
      <c r="U832" s="1477"/>
      <c r="V832" s="1477"/>
      <c r="W832" s="533"/>
      <c r="X832" s="533"/>
      <c r="Y832" s="109"/>
      <c r="Z832" s="533"/>
      <c r="AA832" s="54"/>
      <c r="AB832" s="757"/>
      <c r="AC832" s="757"/>
      <c r="AD832" s="757"/>
      <c r="AE832" s="757"/>
      <c r="AF832" s="757"/>
      <c r="AG832" s="757"/>
      <c r="IK832" s="29"/>
      <c r="IL832" s="29"/>
      <c r="JB832" s="29"/>
    </row>
    <row r="833" spans="3:262" ht="12" customHeight="1">
      <c r="C833" s="1477"/>
      <c r="D833" s="1477"/>
      <c r="E833" s="109"/>
      <c r="F833" s="533"/>
      <c r="H833" s="101" t="s">
        <v>3545</v>
      </c>
      <c r="J833" s="1564">
        <f>HE791</f>
        <v>0</v>
      </c>
      <c r="K833" s="1564">
        <f>HF791</f>
        <v>0</v>
      </c>
      <c r="L833" s="1564">
        <f>HG791</f>
        <v>0</v>
      </c>
      <c r="M833" s="1564">
        <f>HH791</f>
        <v>0</v>
      </c>
      <c r="N833" s="1564">
        <f>HI791</f>
        <v>0</v>
      </c>
      <c r="O833" s="1564">
        <f t="shared" si="265"/>
        <v>0</v>
      </c>
      <c r="R833" s="1565"/>
      <c r="S833" s="1565"/>
      <c r="T833" s="1565"/>
      <c r="U833" s="1477"/>
      <c r="V833" s="1477"/>
      <c r="W833" s="533"/>
      <c r="X833" s="533"/>
      <c r="Y833" s="109"/>
      <c r="Z833" s="533"/>
      <c r="AA833" s="54"/>
      <c r="AB833" s="757"/>
      <c r="AC833" s="757"/>
      <c r="AD833" s="757"/>
      <c r="AE833" s="757"/>
      <c r="AF833" s="757"/>
      <c r="AG833" s="757"/>
      <c r="IK833" s="29"/>
      <c r="IL833" s="29"/>
      <c r="JB833" s="29"/>
    </row>
    <row r="834" spans="3:262" ht="12" customHeight="1">
      <c r="C834" s="1477"/>
      <c r="D834" s="1477"/>
      <c r="E834" s="109"/>
      <c r="F834" s="533"/>
      <c r="H834" s="1220" t="s">
        <v>2695</v>
      </c>
      <c r="J834" s="1564">
        <f>HJ791</f>
        <v>0</v>
      </c>
      <c r="K834" s="1564">
        <f>HK791</f>
        <v>0</v>
      </c>
      <c r="L834" s="1564">
        <f>HL791</f>
        <v>0</v>
      </c>
      <c r="M834" s="1564">
        <f>HM791</f>
        <v>0</v>
      </c>
      <c r="N834" s="1564">
        <f>HN791</f>
        <v>0</v>
      </c>
      <c r="O834" s="1564">
        <f t="shared" si="265"/>
        <v>0</v>
      </c>
      <c r="R834" s="1565"/>
      <c r="S834" s="1565"/>
      <c r="T834" s="1565"/>
      <c r="U834" s="1477"/>
      <c r="V834" s="1477"/>
      <c r="W834" s="533"/>
      <c r="X834" s="533"/>
      <c r="Y834" s="109"/>
      <c r="Z834" s="533"/>
      <c r="AA834" s="54"/>
      <c r="AB834" s="757"/>
      <c r="AC834" s="757"/>
      <c r="AD834" s="757"/>
      <c r="AE834" s="757"/>
      <c r="AF834" s="757"/>
      <c r="AG834" s="757"/>
      <c r="IK834" s="29"/>
      <c r="IL834" s="29"/>
      <c r="JB834" s="29"/>
    </row>
    <row r="835" spans="3:262" ht="12" customHeight="1">
      <c r="C835" s="1477"/>
      <c r="D835" s="1477"/>
      <c r="E835" s="109"/>
      <c r="F835" s="533"/>
      <c r="H835" s="101" t="s">
        <v>3545</v>
      </c>
      <c r="J835" s="1564">
        <f>HO791</f>
        <v>0</v>
      </c>
      <c r="K835" s="1564">
        <f>HP791</f>
        <v>0</v>
      </c>
      <c r="L835" s="1564">
        <f>HQ791</f>
        <v>0</v>
      </c>
      <c r="M835" s="1564">
        <f>HR791</f>
        <v>0</v>
      </c>
      <c r="N835" s="1564">
        <f>HS791</f>
        <v>0</v>
      </c>
      <c r="O835" s="1564">
        <f t="shared" si="265"/>
        <v>0</v>
      </c>
      <c r="R835" s="1565"/>
      <c r="S835" s="1565"/>
      <c r="T835" s="1565"/>
      <c r="U835" s="1477"/>
      <c r="V835" s="1477"/>
      <c r="W835" s="533"/>
      <c r="X835" s="533"/>
      <c r="Y835" s="109"/>
      <c r="Z835" s="533"/>
      <c r="AA835" s="54"/>
      <c r="AB835" s="757"/>
      <c r="AC835" s="757"/>
      <c r="AD835" s="757"/>
      <c r="AE835" s="757"/>
      <c r="AF835" s="757"/>
      <c r="AG835" s="757"/>
      <c r="IK835" s="29"/>
      <c r="IL835" s="29"/>
      <c r="JB835" s="29"/>
    </row>
    <row r="836" spans="3:262" ht="12" customHeight="1">
      <c r="E836" s="109"/>
      <c r="F836" s="533"/>
      <c r="H836" s="1220" t="s">
        <v>2694</v>
      </c>
      <c r="J836" s="1564">
        <f>HT791</f>
        <v>3</v>
      </c>
      <c r="K836" s="1564">
        <f>HU791</f>
        <v>205</v>
      </c>
      <c r="L836" s="1564">
        <f>HV791</f>
        <v>0</v>
      </c>
      <c r="M836" s="1564">
        <f>HW791</f>
        <v>0</v>
      </c>
      <c r="N836" s="1564">
        <f>HX791</f>
        <v>0</v>
      </c>
      <c r="O836" s="1564">
        <f t="shared" si="265"/>
        <v>208</v>
      </c>
      <c r="R836" s="1565"/>
      <c r="S836" s="1565"/>
      <c r="T836" s="1565"/>
      <c r="U836" s="1477"/>
      <c r="V836" s="1477"/>
      <c r="W836" s="533"/>
      <c r="X836" s="533"/>
      <c r="Y836" s="109"/>
      <c r="Z836" s="533"/>
      <c r="AA836" s="54"/>
      <c r="AB836" s="757"/>
      <c r="AC836" s="757"/>
      <c r="AD836" s="757"/>
      <c r="AE836" s="757"/>
      <c r="AF836" s="757"/>
      <c r="AG836" s="757"/>
      <c r="IK836" s="29"/>
      <c r="IL836" s="29"/>
      <c r="JB836" s="29"/>
    </row>
    <row r="837" spans="3:262" ht="12" customHeight="1">
      <c r="E837" s="109"/>
      <c r="F837" s="533"/>
      <c r="H837" s="101" t="s">
        <v>3545</v>
      </c>
      <c r="J837" s="1564">
        <f>HY791</f>
        <v>0</v>
      </c>
      <c r="K837" s="1564">
        <f>HZ791</f>
        <v>0</v>
      </c>
      <c r="L837" s="1564">
        <f>IA791</f>
        <v>0</v>
      </c>
      <c r="M837" s="1564">
        <f>IB791</f>
        <v>0</v>
      </c>
      <c r="N837" s="1564">
        <f>IC791</f>
        <v>0</v>
      </c>
      <c r="O837" s="1564">
        <f t="shared" si="265"/>
        <v>0</v>
      </c>
      <c r="R837" s="1565"/>
      <c r="S837" s="1565"/>
      <c r="T837" s="1565"/>
      <c r="U837" s="1477"/>
      <c r="V837" s="1477"/>
      <c r="W837" s="533"/>
      <c r="X837" s="533"/>
      <c r="Y837" s="109"/>
      <c r="Z837" s="533"/>
      <c r="AA837" s="54"/>
      <c r="AB837" s="757"/>
      <c r="AC837" s="757"/>
      <c r="AD837" s="757"/>
      <c r="AE837" s="757"/>
      <c r="AF837" s="757"/>
      <c r="AG837" s="757"/>
      <c r="IK837" s="29"/>
      <c r="IL837" s="29"/>
      <c r="JB837" s="29"/>
    </row>
    <row r="838" spans="3:262" ht="12" customHeight="1">
      <c r="E838" s="109" t="s">
        <v>42</v>
      </c>
      <c r="F838" s="533"/>
      <c r="H838" s="1220"/>
      <c r="J838" s="1564">
        <f>FB791</f>
        <v>0</v>
      </c>
      <c r="K838" s="1564">
        <f>FC791</f>
        <v>0</v>
      </c>
      <c r="L838" s="1564">
        <f>FD791</f>
        <v>0</v>
      </c>
      <c r="M838" s="1564">
        <f>FE791</f>
        <v>0</v>
      </c>
      <c r="N838" s="1564">
        <f>FF791</f>
        <v>0</v>
      </c>
      <c r="O838" s="1564">
        <f t="shared" si="265"/>
        <v>0</v>
      </c>
      <c r="R838" s="1565"/>
      <c r="S838" s="1565"/>
      <c r="T838" s="1565"/>
      <c r="U838" s="1477"/>
      <c r="V838" s="1477"/>
      <c r="W838" s="533"/>
      <c r="X838" s="533"/>
      <c r="Y838" s="109"/>
      <c r="Z838" s="533"/>
      <c r="AA838" s="54"/>
      <c r="AB838" s="757"/>
      <c r="AC838" s="757"/>
      <c r="AD838" s="757"/>
      <c r="AE838" s="757"/>
      <c r="AF838" s="757"/>
      <c r="AG838" s="757"/>
      <c r="AH838" s="467"/>
      <c r="AI838" s="533"/>
      <c r="GT838" s="615"/>
      <c r="GY838" s="615"/>
      <c r="GZ838" s="615"/>
      <c r="HA838" s="615"/>
      <c r="HB838" s="615"/>
      <c r="HC838" s="615"/>
      <c r="HD838" s="615"/>
      <c r="HE838" s="615"/>
      <c r="HF838" s="615"/>
      <c r="HG838" s="615"/>
      <c r="HH838" s="615"/>
      <c r="HI838" s="615"/>
      <c r="HJ838" s="615"/>
      <c r="HK838" s="615"/>
      <c r="HL838" s="615"/>
      <c r="HM838" s="615"/>
      <c r="HN838" s="615"/>
      <c r="HO838" s="615"/>
      <c r="HP838" s="615"/>
      <c r="HQ838" s="615"/>
      <c r="HR838" s="615"/>
      <c r="HS838" s="615"/>
      <c r="HT838" s="615"/>
      <c r="HU838" s="615"/>
      <c r="HV838" s="615"/>
      <c r="HW838" s="615"/>
      <c r="HX838" s="615"/>
      <c r="HY838" s="615"/>
      <c r="HZ838" s="615"/>
      <c r="IA838" s="615"/>
      <c r="IB838" s="615"/>
      <c r="IC838" s="615"/>
      <c r="ID838" s="615"/>
      <c r="IK838" s="29"/>
      <c r="IL838" s="29"/>
      <c r="JB838" s="29"/>
    </row>
    <row r="839" spans="3:262" ht="12" customHeight="1">
      <c r="E839" s="109"/>
      <c r="F839" s="533"/>
      <c r="H839" s="101" t="s">
        <v>3545</v>
      </c>
      <c r="J839" s="1564">
        <f>FG791</f>
        <v>0</v>
      </c>
      <c r="K839" s="1564">
        <f>FH791</f>
        <v>0</v>
      </c>
      <c r="L839" s="1564">
        <f>FI791</f>
        <v>0</v>
      </c>
      <c r="M839" s="1564">
        <f>FJ791</f>
        <v>0</v>
      </c>
      <c r="N839" s="1564">
        <f>FK791</f>
        <v>0</v>
      </c>
      <c r="O839" s="1564">
        <f t="shared" si="265"/>
        <v>0</v>
      </c>
      <c r="R839" s="1565"/>
      <c r="S839" s="1565"/>
      <c r="T839" s="1565"/>
      <c r="U839" s="1477"/>
      <c r="V839" s="1477"/>
      <c r="W839" s="533"/>
      <c r="X839" s="533"/>
      <c r="Y839" s="109"/>
      <c r="Z839" s="533"/>
      <c r="AA839" s="54"/>
      <c r="AB839" s="757"/>
      <c r="AC839" s="757"/>
      <c r="AD839" s="757"/>
      <c r="AE839" s="757"/>
      <c r="AF839" s="757"/>
      <c r="AG839" s="757"/>
      <c r="AH839" s="467"/>
      <c r="AI839" s="533"/>
      <c r="GT839" s="615"/>
      <c r="GY839" s="615"/>
      <c r="GZ839" s="615"/>
      <c r="HA839" s="615"/>
      <c r="HB839" s="615"/>
      <c r="HC839" s="615"/>
      <c r="HD839" s="615"/>
      <c r="HE839" s="615"/>
      <c r="HF839" s="615"/>
      <c r="HG839" s="615"/>
      <c r="HH839" s="615"/>
      <c r="HI839" s="615"/>
      <c r="HJ839" s="615"/>
      <c r="HK839" s="615"/>
      <c r="HL839" s="615"/>
      <c r="HM839" s="615"/>
      <c r="HN839" s="615"/>
      <c r="HO839" s="615"/>
      <c r="HP839" s="615"/>
      <c r="HQ839" s="615"/>
      <c r="HR839" s="615"/>
      <c r="HS839" s="615"/>
      <c r="HT839" s="615"/>
      <c r="HU839" s="615"/>
      <c r="HV839" s="615"/>
      <c r="HW839" s="615"/>
      <c r="HX839" s="615"/>
      <c r="HY839" s="615"/>
      <c r="HZ839" s="615"/>
      <c r="IA839" s="615"/>
      <c r="IB839" s="615"/>
      <c r="IC839" s="615"/>
      <c r="ID839" s="615"/>
      <c r="IK839" s="29"/>
      <c r="IL839" s="29"/>
      <c r="JB839" s="29"/>
    </row>
    <row r="840" spans="3:262" ht="12" customHeight="1">
      <c r="C840" s="533"/>
      <c r="D840" s="533"/>
      <c r="E840" s="109" t="s">
        <v>43</v>
      </c>
      <c r="F840" s="533"/>
      <c r="H840" s="1220"/>
      <c r="J840" s="1564">
        <f>GF791</f>
        <v>0</v>
      </c>
      <c r="K840" s="1564">
        <f>GG791</f>
        <v>0</v>
      </c>
      <c r="L840" s="1564">
        <f>GH791</f>
        <v>0</v>
      </c>
      <c r="M840" s="1564">
        <f>GI791</f>
        <v>0</v>
      </c>
      <c r="N840" s="1564">
        <f>GJ791</f>
        <v>0</v>
      </c>
      <c r="O840" s="1564">
        <f t="shared" si="265"/>
        <v>0</v>
      </c>
      <c r="R840" s="1565"/>
      <c r="S840" s="1565"/>
      <c r="T840" s="1565"/>
      <c r="U840" s="1477"/>
      <c r="V840" s="1477"/>
      <c r="W840" s="533"/>
      <c r="X840" s="533"/>
      <c r="Y840" s="109"/>
      <c r="Z840" s="533"/>
      <c r="AA840" s="54"/>
      <c r="AB840" s="757"/>
      <c r="AC840" s="757"/>
      <c r="AD840" s="757"/>
      <c r="AE840" s="757"/>
      <c r="AF840" s="757"/>
      <c r="AG840" s="757"/>
      <c r="IK840" s="29"/>
      <c r="IL840" s="29"/>
      <c r="JB840" s="29"/>
    </row>
    <row r="841" spans="3:262" ht="12" customHeight="1">
      <c r="C841" s="533"/>
      <c r="D841" s="533"/>
      <c r="E841" s="109"/>
      <c r="F841" s="533"/>
      <c r="H841" s="101" t="s">
        <v>3545</v>
      </c>
      <c r="J841" s="1564">
        <f>GK791</f>
        <v>0</v>
      </c>
      <c r="K841" s="1564">
        <f>GL791</f>
        <v>0</v>
      </c>
      <c r="L841" s="1564">
        <f>GM791</f>
        <v>0</v>
      </c>
      <c r="M841" s="1564">
        <f>GN791</f>
        <v>0</v>
      </c>
      <c r="N841" s="1564">
        <f>GO791</f>
        <v>0</v>
      </c>
      <c r="O841" s="1564">
        <f t="shared" si="265"/>
        <v>0</v>
      </c>
      <c r="R841" s="1565"/>
      <c r="S841" s="1565"/>
      <c r="T841" s="1565"/>
      <c r="U841" s="1477"/>
      <c r="V841" s="1477"/>
      <c r="W841" s="533"/>
      <c r="X841" s="533"/>
      <c r="Y841" s="109"/>
      <c r="Z841" s="533"/>
      <c r="AA841" s="54"/>
      <c r="AB841" s="757"/>
      <c r="AC841" s="757"/>
      <c r="AD841" s="757"/>
      <c r="AE841" s="757"/>
      <c r="AF841" s="757"/>
      <c r="AG841" s="757"/>
      <c r="IK841" s="29"/>
      <c r="IL841" s="29"/>
      <c r="JB841" s="29"/>
    </row>
    <row r="842" spans="3:262" ht="12" customHeight="1">
      <c r="C842" s="533"/>
      <c r="D842" s="533"/>
      <c r="E842" s="109" t="s">
        <v>584</v>
      </c>
      <c r="F842" s="533"/>
      <c r="H842" s="1220"/>
      <c r="J842" s="1564">
        <f>FV791</f>
        <v>0</v>
      </c>
      <c r="K842" s="1564">
        <f>FW791</f>
        <v>0</v>
      </c>
      <c r="L842" s="1564">
        <f>FX791</f>
        <v>0</v>
      </c>
      <c r="M842" s="1564">
        <f>FY791</f>
        <v>0</v>
      </c>
      <c r="N842" s="1564">
        <f>FZ791</f>
        <v>0</v>
      </c>
      <c r="O842" s="1564">
        <f t="shared" si="265"/>
        <v>0</v>
      </c>
      <c r="R842" s="1565"/>
      <c r="S842" s="1565"/>
      <c r="T842" s="1565"/>
      <c r="U842" s="1477"/>
      <c r="V842" s="1477"/>
      <c r="W842" s="533"/>
      <c r="X842" s="533"/>
      <c r="Y842" s="109"/>
      <c r="Z842" s="533"/>
      <c r="AA842" s="54"/>
      <c r="AB842" s="757"/>
      <c r="AC842" s="757"/>
      <c r="AD842" s="757"/>
      <c r="AE842" s="757"/>
      <c r="AF842" s="757"/>
      <c r="AG842" s="757"/>
      <c r="AH842" s="467"/>
      <c r="AI842" s="533"/>
      <c r="GT842" s="615"/>
      <c r="GY842" s="615"/>
      <c r="GZ842" s="615"/>
      <c r="HA842" s="615"/>
      <c r="HB842" s="615"/>
      <c r="HC842" s="615"/>
      <c r="HD842" s="615"/>
      <c r="HE842" s="615"/>
      <c r="HF842" s="615"/>
      <c r="HG842" s="615"/>
      <c r="HH842" s="615"/>
      <c r="HI842" s="615"/>
      <c r="HJ842" s="615"/>
      <c r="HK842" s="615"/>
      <c r="HL842" s="615"/>
      <c r="HM842" s="615"/>
      <c r="HN842" s="615"/>
      <c r="HO842" s="615"/>
      <c r="HP842" s="615"/>
      <c r="HQ842" s="615"/>
      <c r="HR842" s="615"/>
      <c r="HS842" s="615"/>
      <c r="HT842" s="615"/>
      <c r="HU842" s="615"/>
      <c r="HV842" s="615"/>
      <c r="HW842" s="615"/>
      <c r="HX842" s="615"/>
      <c r="HY842" s="615"/>
      <c r="HZ842" s="615"/>
      <c r="IA842" s="615"/>
      <c r="IB842" s="615"/>
      <c r="IC842" s="615"/>
      <c r="ID842" s="615"/>
      <c r="IK842" s="29"/>
      <c r="IL842" s="29"/>
      <c r="JB842" s="29"/>
    </row>
    <row r="843" spans="3:262" ht="12" customHeight="1">
      <c r="C843" s="533"/>
      <c r="D843" s="533"/>
      <c r="E843" s="109"/>
      <c r="F843" s="533"/>
      <c r="H843" s="101" t="s">
        <v>3545</v>
      </c>
      <c r="J843" s="1564">
        <f>GA791</f>
        <v>0</v>
      </c>
      <c r="K843" s="1564">
        <f>GB791</f>
        <v>0</v>
      </c>
      <c r="L843" s="1564">
        <f>GC791</f>
        <v>0</v>
      </c>
      <c r="M843" s="1564">
        <f>GD791</f>
        <v>0</v>
      </c>
      <c r="N843" s="1564">
        <f>GE791</f>
        <v>0</v>
      </c>
      <c r="O843" s="1564">
        <f t="shared" si="265"/>
        <v>0</v>
      </c>
      <c r="R843" s="1565"/>
      <c r="S843" s="1565"/>
      <c r="T843" s="1565"/>
      <c r="U843" s="1477"/>
      <c r="V843" s="1477"/>
      <c r="W843" s="533"/>
      <c r="X843" s="533"/>
      <c r="Y843" s="109"/>
      <c r="Z843" s="533"/>
      <c r="AA843" s="54"/>
      <c r="AB843" s="757"/>
      <c r="AC843" s="757"/>
      <c r="AD843" s="757"/>
      <c r="AE843" s="757"/>
      <c r="AF843" s="757"/>
      <c r="AG843" s="757"/>
      <c r="AH843" s="467"/>
      <c r="AI843" s="533"/>
      <c r="GT843" s="615"/>
      <c r="GY843" s="615"/>
      <c r="GZ843" s="615"/>
      <c r="HA843" s="615"/>
      <c r="HB843" s="615"/>
      <c r="HC843" s="615"/>
      <c r="HD843" s="615"/>
      <c r="HE843" s="615"/>
      <c r="HF843" s="615"/>
      <c r="HG843" s="615"/>
      <c r="HH843" s="615"/>
      <c r="HI843" s="615"/>
      <c r="HJ843" s="615"/>
      <c r="HK843" s="615"/>
      <c r="HL843" s="615"/>
      <c r="HM843" s="615"/>
      <c r="HN843" s="615"/>
      <c r="HO843" s="615"/>
      <c r="HP843" s="615"/>
      <c r="HQ843" s="615"/>
      <c r="HR843" s="615"/>
      <c r="HS843" s="615"/>
      <c r="HT843" s="615"/>
      <c r="HU843" s="615"/>
      <c r="HV843" s="615"/>
      <c r="HW843" s="615"/>
      <c r="HX843" s="615"/>
      <c r="HY843" s="615"/>
      <c r="HZ843" s="615"/>
      <c r="IA843" s="615"/>
      <c r="IB843" s="615"/>
      <c r="IC843" s="615"/>
      <c r="ID843" s="615"/>
      <c r="IK843" s="29"/>
      <c r="IL843" s="29"/>
      <c r="JB843" s="29"/>
    </row>
    <row r="844" spans="3:262" ht="12" customHeight="1">
      <c r="C844" s="533"/>
      <c r="D844" s="533"/>
      <c r="E844" s="1535" t="s">
        <v>585</v>
      </c>
      <c r="F844" s="533"/>
      <c r="H844" s="1220"/>
      <c r="J844" s="1564">
        <f>FL791</f>
        <v>0</v>
      </c>
      <c r="K844" s="1564">
        <f>FM791</f>
        <v>0</v>
      </c>
      <c r="L844" s="1564">
        <f>FN791</f>
        <v>0</v>
      </c>
      <c r="M844" s="1564">
        <f>FO791</f>
        <v>0</v>
      </c>
      <c r="N844" s="1564">
        <f>FP791</f>
        <v>0</v>
      </c>
      <c r="O844" s="1564">
        <f t="shared" si="265"/>
        <v>0</v>
      </c>
      <c r="R844" s="1565"/>
      <c r="S844" s="1565"/>
      <c r="T844" s="1565"/>
      <c r="U844" s="1477"/>
      <c r="V844" s="1477"/>
      <c r="W844" s="533"/>
      <c r="X844" s="533"/>
      <c r="Y844" s="1535"/>
      <c r="Z844" s="533"/>
      <c r="AA844" s="54"/>
      <c r="AB844" s="757"/>
      <c r="AC844" s="757"/>
      <c r="AD844" s="757"/>
      <c r="AE844" s="757"/>
      <c r="AF844" s="757"/>
      <c r="AG844" s="757"/>
      <c r="IK844" s="29"/>
      <c r="IL844" s="29"/>
      <c r="JB844" s="29"/>
    </row>
    <row r="845" spans="3:262" ht="12" customHeight="1">
      <c r="C845" s="533"/>
      <c r="D845" s="533"/>
      <c r="E845" s="1535"/>
      <c r="F845" s="533"/>
      <c r="H845" s="101" t="s">
        <v>3545</v>
      </c>
      <c r="J845" s="1564">
        <f>FQ791</f>
        <v>0</v>
      </c>
      <c r="K845" s="1564">
        <f>FR791</f>
        <v>0</v>
      </c>
      <c r="L845" s="1564">
        <f>FS791</f>
        <v>0</v>
      </c>
      <c r="M845" s="1564">
        <f>FT791</f>
        <v>0</v>
      </c>
      <c r="N845" s="1564">
        <f>FU791</f>
        <v>0</v>
      </c>
      <c r="O845" s="1564">
        <f t="shared" si="265"/>
        <v>0</v>
      </c>
      <c r="R845" s="1565"/>
      <c r="S845" s="1565"/>
      <c r="T845" s="1565"/>
      <c r="U845" s="1477"/>
      <c r="V845" s="1477"/>
      <c r="W845" s="533"/>
      <c r="X845" s="533"/>
      <c r="Y845" s="1535"/>
      <c r="Z845" s="533"/>
      <c r="AA845" s="54"/>
      <c r="AB845" s="757"/>
      <c r="AC845" s="757"/>
      <c r="AD845" s="757"/>
      <c r="AE845" s="757"/>
      <c r="AF845" s="757"/>
      <c r="AG845" s="757"/>
      <c r="IK845" s="29"/>
      <c r="IL845" s="29"/>
      <c r="JB845" s="29"/>
    </row>
    <row r="846" spans="3:262" ht="4.5" customHeight="1">
      <c r="C846" s="533"/>
      <c r="H846" s="1569"/>
      <c r="J846" s="1570"/>
      <c r="K846" s="1570"/>
      <c r="L846" s="1570"/>
      <c r="M846" s="1570"/>
      <c r="N846" s="1570"/>
      <c r="O846" s="1570"/>
      <c r="U846" s="338" t="str">
        <f>C847</f>
        <v>Building Type:
(for Cost Limit purposes)</v>
      </c>
      <c r="GT846" s="615"/>
      <c r="GY846" s="615"/>
      <c r="GZ846" s="615"/>
      <c r="HA846" s="615"/>
      <c r="HB846" s="615"/>
      <c r="HC846" s="615"/>
      <c r="HD846" s="615"/>
      <c r="HE846" s="615"/>
      <c r="HF846" s="615"/>
      <c r="HG846" s="615"/>
      <c r="HH846" s="615"/>
      <c r="HI846" s="615"/>
      <c r="HJ846" s="615"/>
      <c r="HK846" s="615"/>
      <c r="HL846" s="615"/>
      <c r="HM846" s="615"/>
      <c r="HN846" s="615"/>
      <c r="HO846" s="615"/>
      <c r="HP846" s="615"/>
      <c r="HQ846" s="615"/>
      <c r="HR846" s="615"/>
      <c r="HS846" s="615"/>
      <c r="HT846" s="615"/>
      <c r="HU846" s="615"/>
      <c r="HV846" s="615"/>
      <c r="HW846" s="615"/>
      <c r="HX846" s="615"/>
      <c r="HY846" s="615"/>
      <c r="HZ846" s="615"/>
      <c r="IA846" s="615"/>
      <c r="IB846" s="615"/>
      <c r="IC846" s="615"/>
      <c r="ID846" s="615"/>
      <c r="IK846" s="29"/>
      <c r="JA846" s="29"/>
      <c r="JB846" s="29"/>
    </row>
    <row r="847" spans="3:262" ht="12" customHeight="1">
      <c r="C847" s="1477" t="s">
        <v>4109</v>
      </c>
      <c r="D847" s="1477"/>
      <c r="E847" s="109" t="s">
        <v>3540</v>
      </c>
      <c r="F847" s="573"/>
      <c r="H847" s="1220"/>
      <c r="J847" s="1564">
        <f t="shared" ref="J847:N848" si="266">J838+J842+J844</f>
        <v>0</v>
      </c>
      <c r="K847" s="1564">
        <f t="shared" si="266"/>
        <v>0</v>
      </c>
      <c r="L847" s="1564">
        <f t="shared" si="266"/>
        <v>0</v>
      </c>
      <c r="M847" s="1564">
        <f t="shared" si="266"/>
        <v>0</v>
      </c>
      <c r="N847" s="1564">
        <f t="shared" si="266"/>
        <v>0</v>
      </c>
      <c r="O847" s="1564">
        <f t="shared" ref="O847:O854" si="267">SUM(J847:N847)</f>
        <v>0</v>
      </c>
      <c r="R847" s="1565"/>
      <c r="S847" s="1565"/>
      <c r="T847" s="1565"/>
      <c r="U847" s="1477">
        <f>'Part VI-Revenues &amp; Expenses'!U104</f>
        <v>0</v>
      </c>
      <c r="V847" s="1477"/>
      <c r="W847" s="533"/>
      <c r="X847" s="533"/>
      <c r="Y847" s="1535"/>
      <c r="Z847" s="533"/>
      <c r="AA847" s="54"/>
      <c r="AB847" s="757"/>
      <c r="AC847" s="757"/>
      <c r="AD847" s="757"/>
      <c r="AE847" s="757"/>
      <c r="AF847" s="757"/>
      <c r="AG847" s="757"/>
      <c r="IK847" s="29"/>
      <c r="IL847" s="29"/>
      <c r="JB847" s="29"/>
    </row>
    <row r="848" spans="3:262" ht="12" customHeight="1">
      <c r="C848" s="1477"/>
      <c r="D848" s="1477"/>
      <c r="E848" s="109"/>
      <c r="F848" s="573"/>
      <c r="H848" s="101" t="s">
        <v>3545</v>
      </c>
      <c r="J848" s="1564">
        <f t="shared" si="266"/>
        <v>0</v>
      </c>
      <c r="K848" s="1564">
        <f t="shared" si="266"/>
        <v>0</v>
      </c>
      <c r="L848" s="1564">
        <f t="shared" si="266"/>
        <v>0</v>
      </c>
      <c r="M848" s="1564">
        <f t="shared" si="266"/>
        <v>0</v>
      </c>
      <c r="N848" s="1564">
        <f t="shared" si="266"/>
        <v>0</v>
      </c>
      <c r="O848" s="1564">
        <f t="shared" si="267"/>
        <v>0</v>
      </c>
      <c r="R848" s="1565"/>
      <c r="S848" s="1565"/>
      <c r="T848" s="1565"/>
      <c r="U848" s="1477"/>
      <c r="V848" s="1477"/>
      <c r="W848" s="533"/>
      <c r="X848" s="533"/>
      <c r="Y848" s="1535"/>
      <c r="Z848" s="533"/>
      <c r="AA848" s="54"/>
      <c r="AB848" s="757"/>
      <c r="AC848" s="757"/>
      <c r="AD848" s="757"/>
      <c r="AE848" s="757"/>
      <c r="AF848" s="757"/>
      <c r="AG848" s="757"/>
      <c r="IK848" s="29"/>
      <c r="IL848" s="29"/>
      <c r="JB848" s="29"/>
    </row>
    <row r="849" spans="1:263" ht="12" customHeight="1">
      <c r="C849" s="1477"/>
      <c r="D849" s="1477"/>
      <c r="E849" s="109" t="s">
        <v>3541</v>
      </c>
      <c r="F849" s="573"/>
      <c r="H849" s="573"/>
      <c r="J849" s="1564">
        <f>J830+J840</f>
        <v>0</v>
      </c>
      <c r="K849" s="1564">
        <f t="shared" ref="K849:N850" si="268">K830+K840</f>
        <v>0</v>
      </c>
      <c r="L849" s="1564">
        <f t="shared" si="268"/>
        <v>0</v>
      </c>
      <c r="M849" s="1564">
        <f t="shared" si="268"/>
        <v>0</v>
      </c>
      <c r="N849" s="1564">
        <f t="shared" si="268"/>
        <v>0</v>
      </c>
      <c r="O849" s="1564">
        <f t="shared" si="267"/>
        <v>0</v>
      </c>
      <c r="R849" s="1565"/>
      <c r="S849" s="1565"/>
      <c r="T849" s="1565"/>
      <c r="U849" s="1477"/>
      <c r="V849" s="1477"/>
      <c r="W849" s="533"/>
      <c r="X849" s="533"/>
      <c r="Y849" s="1535"/>
      <c r="Z849" s="533"/>
      <c r="AA849" s="54"/>
      <c r="AB849" s="757"/>
      <c r="AC849" s="757"/>
      <c r="AD849" s="757"/>
      <c r="AE849" s="757"/>
      <c r="AF849" s="757"/>
      <c r="AG849" s="757"/>
      <c r="IK849" s="29"/>
      <c r="IL849" s="29"/>
      <c r="JB849" s="29"/>
    </row>
    <row r="850" spans="1:263" ht="12" customHeight="1">
      <c r="C850" s="1477"/>
      <c r="D850" s="1477"/>
      <c r="E850" s="109"/>
      <c r="F850" s="573"/>
      <c r="H850" s="101" t="s">
        <v>3545</v>
      </c>
      <c r="J850" s="1564">
        <f>J831+J841</f>
        <v>0</v>
      </c>
      <c r="K850" s="1564">
        <f t="shared" si="268"/>
        <v>0</v>
      </c>
      <c r="L850" s="1564">
        <f t="shared" si="268"/>
        <v>0</v>
      </c>
      <c r="M850" s="1564">
        <f t="shared" si="268"/>
        <v>0</v>
      </c>
      <c r="N850" s="1564">
        <f t="shared" si="268"/>
        <v>0</v>
      </c>
      <c r="O850" s="1564">
        <f t="shared" si="267"/>
        <v>0</v>
      </c>
      <c r="R850" s="1565"/>
      <c r="S850" s="1565"/>
      <c r="T850" s="1565"/>
      <c r="U850" s="1477"/>
      <c r="V850" s="1477"/>
      <c r="W850" s="533"/>
      <c r="X850" s="533"/>
      <c r="Y850" s="1535"/>
      <c r="Z850" s="533"/>
      <c r="AA850" s="54"/>
      <c r="AB850" s="757"/>
      <c r="AC850" s="757"/>
      <c r="AD850" s="757"/>
      <c r="AE850" s="757"/>
      <c r="AF850" s="757"/>
      <c r="AG850" s="757"/>
      <c r="IK850" s="29"/>
      <c r="IL850" s="29"/>
      <c r="JB850" s="29"/>
    </row>
    <row r="851" spans="1:263" ht="12" customHeight="1">
      <c r="C851" s="1477"/>
      <c r="D851" s="1477"/>
      <c r="E851" s="109" t="s">
        <v>3542</v>
      </c>
      <c r="F851" s="573"/>
      <c r="H851" s="1220"/>
      <c r="J851" s="1564">
        <f>J834</f>
        <v>0</v>
      </c>
      <c r="K851" s="1564">
        <f t="shared" ref="K851:N852" si="269">K834</f>
        <v>0</v>
      </c>
      <c r="L851" s="1564">
        <f t="shared" si="269"/>
        <v>0</v>
      </c>
      <c r="M851" s="1564">
        <f t="shared" si="269"/>
        <v>0</v>
      </c>
      <c r="N851" s="1564">
        <f t="shared" si="269"/>
        <v>0</v>
      </c>
      <c r="O851" s="1564">
        <f t="shared" si="267"/>
        <v>0</v>
      </c>
      <c r="R851" s="1565"/>
      <c r="S851" s="1565"/>
      <c r="T851" s="1565"/>
      <c r="U851" s="1477"/>
      <c r="V851" s="1477"/>
      <c r="W851" s="533"/>
      <c r="X851" s="533"/>
      <c r="Y851" s="1535"/>
      <c r="Z851" s="533"/>
      <c r="AA851" s="54"/>
      <c r="AB851" s="757"/>
      <c r="AC851" s="757"/>
      <c r="AD851" s="757"/>
      <c r="AE851" s="757"/>
      <c r="AF851" s="757"/>
      <c r="AG851" s="757"/>
      <c r="IK851" s="29"/>
      <c r="IL851" s="29"/>
      <c r="JB851" s="29"/>
    </row>
    <row r="852" spans="1:263" ht="12" customHeight="1">
      <c r="C852" s="1477"/>
      <c r="D852" s="1477"/>
      <c r="E852" s="109"/>
      <c r="F852" s="573"/>
      <c r="H852" s="101" t="s">
        <v>3545</v>
      </c>
      <c r="J852" s="1564">
        <f>J835</f>
        <v>0</v>
      </c>
      <c r="K852" s="1564">
        <f t="shared" si="269"/>
        <v>0</v>
      </c>
      <c r="L852" s="1564">
        <f t="shared" si="269"/>
        <v>0</v>
      </c>
      <c r="M852" s="1564">
        <f t="shared" si="269"/>
        <v>0</v>
      </c>
      <c r="N852" s="1564">
        <f t="shared" si="269"/>
        <v>0</v>
      </c>
      <c r="O852" s="1564">
        <f t="shared" si="267"/>
        <v>0</v>
      </c>
      <c r="R852" s="1565"/>
      <c r="S852" s="1565"/>
      <c r="T852" s="1565"/>
      <c r="U852" s="1477"/>
      <c r="V852" s="1477"/>
      <c r="W852" s="533"/>
      <c r="X852" s="533"/>
      <c r="Y852" s="1535"/>
      <c r="Z852" s="533"/>
      <c r="AA852" s="54"/>
      <c r="AB852" s="757"/>
      <c r="AC852" s="757"/>
      <c r="AD852" s="757"/>
      <c r="AE852" s="757"/>
      <c r="AF852" s="757"/>
      <c r="AG852" s="757"/>
      <c r="IK852" s="29"/>
      <c r="IL852" s="29"/>
      <c r="JB852" s="29"/>
    </row>
    <row r="853" spans="1:263" ht="12" customHeight="1">
      <c r="C853" s="1477"/>
      <c r="D853" s="1477"/>
      <c r="E853" s="109" t="s">
        <v>3543</v>
      </c>
      <c r="F853" s="573"/>
      <c r="H853" s="1220"/>
      <c r="J853" s="1564">
        <f>J832+J836</f>
        <v>3</v>
      </c>
      <c r="K853" s="1564">
        <f t="shared" ref="K853:N854" si="270">K832+K836</f>
        <v>205</v>
      </c>
      <c r="L853" s="1564">
        <f t="shared" si="270"/>
        <v>0</v>
      </c>
      <c r="M853" s="1564">
        <f t="shared" si="270"/>
        <v>0</v>
      </c>
      <c r="N853" s="1564">
        <f t="shared" si="270"/>
        <v>0</v>
      </c>
      <c r="O853" s="1564">
        <f t="shared" si="267"/>
        <v>208</v>
      </c>
      <c r="R853" s="1565"/>
      <c r="S853" s="1565"/>
      <c r="T853" s="1565"/>
      <c r="U853" s="1477"/>
      <c r="V853" s="1477"/>
      <c r="W853" s="533"/>
      <c r="X853" s="533"/>
      <c r="Y853" s="1535"/>
      <c r="Z853" s="533"/>
      <c r="AA853" s="54"/>
      <c r="AB853" s="757"/>
      <c r="AC853" s="757"/>
      <c r="AD853" s="757"/>
      <c r="AE853" s="757"/>
      <c r="AF853" s="757"/>
      <c r="AG853" s="757"/>
      <c r="IK853" s="29"/>
      <c r="IL853" s="29"/>
      <c r="JB853" s="29"/>
    </row>
    <row r="854" spans="1:263" ht="12" customHeight="1">
      <c r="C854" s="533"/>
      <c r="D854" s="533"/>
      <c r="E854" s="1571"/>
      <c r="F854" s="573"/>
      <c r="H854" s="101" t="s">
        <v>3545</v>
      </c>
      <c r="J854" s="1564">
        <f>J833+J837</f>
        <v>0</v>
      </c>
      <c r="K854" s="1564">
        <f t="shared" si="270"/>
        <v>0</v>
      </c>
      <c r="L854" s="1564">
        <f t="shared" si="270"/>
        <v>0</v>
      </c>
      <c r="M854" s="1564">
        <f t="shared" si="270"/>
        <v>0</v>
      </c>
      <c r="N854" s="1564">
        <f t="shared" si="270"/>
        <v>0</v>
      </c>
      <c r="O854" s="1564">
        <f t="shared" si="267"/>
        <v>0</v>
      </c>
      <c r="R854" s="1565"/>
      <c r="S854" s="1565"/>
      <c r="T854" s="1565"/>
      <c r="U854" s="1477"/>
      <c r="V854" s="1477"/>
      <c r="W854" s="533"/>
      <c r="X854" s="533"/>
      <c r="Y854" s="1535"/>
      <c r="Z854" s="533"/>
      <c r="AA854" s="54"/>
      <c r="AB854" s="757"/>
      <c r="AC854" s="757"/>
      <c r="AD854" s="757"/>
      <c r="AE854" s="757"/>
      <c r="AF854" s="757"/>
      <c r="AG854" s="757"/>
      <c r="IK854" s="29"/>
      <c r="IL854" s="29"/>
      <c r="JB854" s="29"/>
    </row>
    <row r="855" spans="1:263" ht="12" customHeight="1">
      <c r="A855" s="29"/>
      <c r="B855" s="29" t="s">
        <v>2243</v>
      </c>
      <c r="C855" s="533"/>
      <c r="D855" s="533"/>
      <c r="E855" s="533"/>
      <c r="F855" s="533"/>
      <c r="H855" s="1220"/>
      <c r="J855" s="1572"/>
      <c r="K855" s="1572"/>
      <c r="L855" s="1572"/>
      <c r="M855" s="1572"/>
      <c r="N855" s="1572"/>
      <c r="O855" s="1572"/>
      <c r="R855" s="1565"/>
      <c r="S855" s="1565"/>
      <c r="T855" s="1565"/>
      <c r="U855" s="338" t="str">
        <f>B855</f>
        <v>Unit Square Footage:</v>
      </c>
      <c r="V855" s="29" t="s">
        <v>1178</v>
      </c>
      <c r="W855" s="533"/>
      <c r="X855" s="533"/>
      <c r="Y855" s="533"/>
      <c r="Z855" s="533"/>
      <c r="AA855" s="54"/>
      <c r="AB855" s="533"/>
      <c r="AC855" s="533"/>
      <c r="AD855" s="533"/>
      <c r="AE855" s="533"/>
      <c r="AF855" s="533"/>
      <c r="AG855" s="533"/>
      <c r="AI855" s="533"/>
      <c r="GT855" s="615"/>
      <c r="GY855" s="615"/>
      <c r="GZ855" s="615"/>
      <c r="HA855" s="615"/>
      <c r="HB855" s="615"/>
      <c r="HC855" s="615"/>
      <c r="HD855" s="615"/>
      <c r="HE855" s="615"/>
      <c r="HF855" s="615"/>
      <c r="HG855" s="615"/>
      <c r="HH855" s="615"/>
      <c r="HI855" s="615"/>
      <c r="HJ855" s="615"/>
      <c r="HK855" s="615"/>
      <c r="HL855" s="615"/>
      <c r="HM855" s="615"/>
      <c r="HN855" s="615"/>
      <c r="HO855" s="615"/>
      <c r="HP855" s="615"/>
      <c r="HQ855" s="615"/>
      <c r="HR855" s="615"/>
      <c r="HS855" s="615"/>
      <c r="HT855" s="615"/>
      <c r="HU855" s="615"/>
      <c r="HV855" s="615"/>
      <c r="HW855" s="615"/>
      <c r="HX855" s="615"/>
      <c r="HY855" s="615"/>
      <c r="HZ855" s="615"/>
      <c r="IA855" s="615"/>
      <c r="IB855" s="615"/>
      <c r="IC855" s="615"/>
      <c r="ID855" s="615"/>
      <c r="IK855" s="29"/>
      <c r="IL855" s="29"/>
      <c r="JB855" s="29"/>
    </row>
    <row r="856" spans="1:263" ht="12" customHeight="1">
      <c r="C856" s="533" t="s">
        <v>2214</v>
      </c>
      <c r="D856" s="533"/>
      <c r="E856" s="533"/>
      <c r="F856" s="533"/>
      <c r="H856" s="1220" t="s">
        <v>1191</v>
      </c>
      <c r="J856" s="1573">
        <f>BZ791</f>
        <v>1245</v>
      </c>
      <c r="K856" s="1573">
        <f>CA791</f>
        <v>110109</v>
      </c>
      <c r="L856" s="1573">
        <f>CB791</f>
        <v>0</v>
      </c>
      <c r="M856" s="1573">
        <f>CC791</f>
        <v>0</v>
      </c>
      <c r="N856" s="1573">
        <f>CD791</f>
        <v>0</v>
      </c>
      <c r="O856" s="1573">
        <f t="shared" ref="O856:O862" si="271">SUM(J856:N856)</f>
        <v>111354</v>
      </c>
      <c r="R856" s="1565"/>
      <c r="S856" s="1565"/>
      <c r="T856" s="1565"/>
      <c r="U856" s="1477">
        <f>'Part VI-Revenues &amp; Expenses'!U113</f>
        <v>0</v>
      </c>
      <c r="V856" s="1477"/>
      <c r="W856" s="533"/>
      <c r="X856" s="533"/>
      <c r="Y856" s="533"/>
      <c r="Z856" s="533"/>
      <c r="AA856" s="54"/>
      <c r="AB856" s="757"/>
      <c r="AC856" s="757"/>
      <c r="AD856" s="757"/>
      <c r="AE856" s="757"/>
      <c r="AF856" s="757"/>
      <c r="AG856" s="757"/>
      <c r="AI856" s="533"/>
      <c r="GT856" s="615"/>
      <c r="GY856" s="615"/>
      <c r="GZ856" s="615"/>
      <c r="HA856" s="615"/>
      <c r="HB856" s="615"/>
      <c r="HC856" s="615"/>
      <c r="HD856" s="615"/>
      <c r="HE856" s="615"/>
      <c r="HF856" s="615"/>
      <c r="HG856" s="615"/>
      <c r="HH856" s="615"/>
      <c r="HI856" s="615"/>
      <c r="HJ856" s="615"/>
      <c r="HK856" s="615"/>
      <c r="HL856" s="615"/>
      <c r="HM856" s="615"/>
      <c r="HN856" s="615"/>
      <c r="HO856" s="615"/>
      <c r="HP856" s="615"/>
      <c r="HQ856" s="615"/>
      <c r="HR856" s="615"/>
      <c r="HS856" s="615"/>
      <c r="HT856" s="615"/>
      <c r="HU856" s="615"/>
      <c r="HV856" s="615"/>
      <c r="HW856" s="615"/>
      <c r="HX856" s="615"/>
      <c r="HY856" s="615"/>
      <c r="HZ856" s="615"/>
      <c r="IA856" s="615"/>
      <c r="IB856" s="615"/>
      <c r="IC856" s="615"/>
      <c r="ID856" s="615"/>
      <c r="IK856" s="29"/>
      <c r="IL856" s="29"/>
      <c r="JB856" s="29"/>
    </row>
    <row r="857" spans="1:263" ht="12" customHeight="1">
      <c r="C857" s="10"/>
      <c r="D857" s="533"/>
      <c r="E857" s="533"/>
      <c r="F857" s="533"/>
      <c r="H857" s="1220" t="s">
        <v>120</v>
      </c>
      <c r="J857" s="1573">
        <f>CE791</f>
        <v>0</v>
      </c>
      <c r="K857" s="1573">
        <f>CF791</f>
        <v>0</v>
      </c>
      <c r="L857" s="1573">
        <f>CG791</f>
        <v>0</v>
      </c>
      <c r="M857" s="1573">
        <f>CH791</f>
        <v>0</v>
      </c>
      <c r="N857" s="1573">
        <f>CI791</f>
        <v>0</v>
      </c>
      <c r="O857" s="1573">
        <f t="shared" si="271"/>
        <v>0</v>
      </c>
      <c r="R857" s="1565"/>
      <c r="S857" s="1565"/>
      <c r="T857" s="1565"/>
      <c r="U857" s="1477"/>
      <c r="V857" s="1477"/>
      <c r="W857" s="10"/>
      <c r="X857" s="533"/>
      <c r="Y857" s="533"/>
      <c r="Z857" s="533"/>
      <c r="AA857" s="54"/>
      <c r="AB857" s="757"/>
      <c r="AC857" s="757"/>
      <c r="AD857" s="757"/>
      <c r="AE857" s="757"/>
      <c r="AF857" s="757"/>
      <c r="AG857" s="757"/>
      <c r="AH857" s="533"/>
      <c r="AI857" s="533"/>
      <c r="GT857" s="615"/>
      <c r="GY857" s="615"/>
      <c r="GZ857" s="615"/>
      <c r="HA857" s="615"/>
      <c r="HB857" s="615"/>
      <c r="HC857" s="615"/>
      <c r="HD857" s="615"/>
      <c r="HE857" s="615"/>
      <c r="HF857" s="615"/>
      <c r="HG857" s="615"/>
      <c r="HH857" s="615"/>
      <c r="HI857" s="615"/>
      <c r="HJ857" s="615"/>
      <c r="HK857" s="615"/>
      <c r="HL857" s="615"/>
      <c r="HM857" s="615"/>
      <c r="HN857" s="615"/>
      <c r="HO857" s="615"/>
      <c r="HP857" s="615"/>
      <c r="HQ857" s="615"/>
      <c r="HR857" s="615"/>
      <c r="HS857" s="615"/>
      <c r="HT857" s="615"/>
      <c r="HU857" s="615"/>
      <c r="HV857" s="615"/>
      <c r="HW857" s="615"/>
      <c r="HX857" s="615"/>
      <c r="HY857" s="615"/>
      <c r="HZ857" s="615"/>
      <c r="IA857" s="615"/>
      <c r="IB857" s="615"/>
      <c r="IC857" s="615"/>
      <c r="ID857" s="615"/>
      <c r="IK857" s="29"/>
      <c r="IL857" s="29"/>
      <c r="JB857" s="29"/>
    </row>
    <row r="858" spans="1:263" ht="12" customHeight="1">
      <c r="C858" s="10"/>
      <c r="D858" s="533"/>
      <c r="E858" s="533"/>
      <c r="F858" s="533"/>
      <c r="H858" s="1220" t="s">
        <v>558</v>
      </c>
      <c r="J858" s="1573">
        <f>SUM(J856:J857)</f>
        <v>1245</v>
      </c>
      <c r="K858" s="1573">
        <f>SUM(K856:K857)</f>
        <v>110109</v>
      </c>
      <c r="L858" s="1573">
        <f>SUM(L856:L857)</f>
        <v>0</v>
      </c>
      <c r="M858" s="1573">
        <f>SUM(M856:M857)</f>
        <v>0</v>
      </c>
      <c r="N858" s="1573">
        <f>SUM(N856:N857)</f>
        <v>0</v>
      </c>
      <c r="O858" s="1573">
        <f t="shared" si="271"/>
        <v>111354</v>
      </c>
      <c r="R858" s="1565"/>
      <c r="S858" s="1565"/>
      <c r="T858" s="1565"/>
      <c r="U858" s="1477"/>
      <c r="V858" s="1477"/>
      <c r="W858" s="10"/>
      <c r="X858" s="533"/>
      <c r="Y858" s="533"/>
      <c r="Z858" s="533"/>
      <c r="AA858" s="54"/>
      <c r="AB858" s="757"/>
      <c r="AC858" s="757"/>
      <c r="AD858" s="757"/>
      <c r="AE858" s="757"/>
      <c r="AF858" s="757"/>
      <c r="AG858" s="757"/>
      <c r="AH858" s="533"/>
      <c r="AI858" s="533"/>
      <c r="GT858" s="615"/>
      <c r="GY858" s="615"/>
      <c r="GZ858" s="615"/>
      <c r="HA858" s="615"/>
      <c r="HB858" s="615"/>
      <c r="HC858" s="615"/>
      <c r="HD858" s="615"/>
      <c r="HE858" s="615"/>
      <c r="HF858" s="615"/>
      <c r="HG858" s="615"/>
      <c r="HH858" s="615"/>
      <c r="HI858" s="615"/>
      <c r="HJ858" s="615"/>
      <c r="HK858" s="615"/>
      <c r="HL858" s="615"/>
      <c r="HM858" s="615"/>
      <c r="HN858" s="615"/>
      <c r="HO858" s="615"/>
      <c r="HP858" s="615"/>
      <c r="HQ858" s="615"/>
      <c r="HR858" s="615"/>
      <c r="HS858" s="615"/>
      <c r="HT858" s="615"/>
      <c r="HU858" s="615"/>
      <c r="HV858" s="615"/>
      <c r="HW858" s="615"/>
      <c r="HX858" s="615"/>
      <c r="HY858" s="615"/>
      <c r="HZ858" s="615"/>
      <c r="IA858" s="615"/>
      <c r="IB858" s="615"/>
      <c r="IC858" s="615"/>
      <c r="ID858" s="615"/>
      <c r="IK858" s="29"/>
      <c r="IL858" s="29"/>
      <c r="JB858" s="29"/>
    </row>
    <row r="859" spans="1:263" ht="12" customHeight="1">
      <c r="C859" s="533" t="s">
        <v>316</v>
      </c>
      <c r="D859" s="533"/>
      <c r="E859" s="533"/>
      <c r="F859" s="533"/>
      <c r="G859" s="533"/>
      <c r="J859" s="1573">
        <f>CO791</f>
        <v>0</v>
      </c>
      <c r="K859" s="1573">
        <f>CP791</f>
        <v>0</v>
      </c>
      <c r="L859" s="1573">
        <f>CQ791</f>
        <v>0</v>
      </c>
      <c r="M859" s="1573">
        <f>CR791</f>
        <v>0</v>
      </c>
      <c r="N859" s="1573">
        <f>CS791</f>
        <v>0</v>
      </c>
      <c r="O859" s="1573">
        <f t="shared" si="271"/>
        <v>0</v>
      </c>
      <c r="R859" s="1565"/>
      <c r="S859" s="1565"/>
      <c r="T859" s="1565"/>
      <c r="U859" s="1477"/>
      <c r="V859" s="1477"/>
      <c r="W859" s="533"/>
      <c r="X859" s="533"/>
      <c r="Y859" s="533"/>
      <c r="Z859" s="533"/>
      <c r="AA859" s="533"/>
      <c r="AB859" s="757"/>
      <c r="AC859" s="757"/>
      <c r="AD859" s="757"/>
      <c r="AE859" s="757"/>
      <c r="AF859" s="757"/>
      <c r="AG859" s="757"/>
      <c r="AI859" s="533"/>
      <c r="GT859" s="615"/>
      <c r="GY859" s="615"/>
      <c r="GZ859" s="615"/>
      <c r="HA859" s="615"/>
      <c r="HB859" s="615"/>
      <c r="HC859" s="615"/>
      <c r="HD859" s="615"/>
      <c r="HE859" s="615"/>
      <c r="HF859" s="615"/>
      <c r="HG859" s="615"/>
      <c r="HH859" s="615"/>
      <c r="HI859" s="615"/>
      <c r="HJ859" s="615"/>
      <c r="HK859" s="615"/>
      <c r="HL859" s="615"/>
      <c r="HM859" s="615"/>
      <c r="HN859" s="615"/>
      <c r="HO859" s="615"/>
      <c r="HP859" s="615"/>
      <c r="HQ859" s="615"/>
      <c r="HR859" s="615"/>
      <c r="HS859" s="615"/>
      <c r="HT859" s="615"/>
      <c r="HU859" s="615"/>
      <c r="HV859" s="615"/>
      <c r="HW859" s="615"/>
      <c r="HX859" s="615"/>
      <c r="HY859" s="615"/>
      <c r="HZ859" s="615"/>
      <c r="IA859" s="615"/>
      <c r="IB859" s="615"/>
      <c r="IC859" s="615"/>
      <c r="ID859" s="615"/>
      <c r="IK859" s="29"/>
      <c r="IL859" s="29"/>
      <c r="JB859" s="29"/>
    </row>
    <row r="860" spans="1:263" ht="12" customHeight="1">
      <c r="C860" s="533" t="s">
        <v>1180</v>
      </c>
      <c r="D860" s="533"/>
      <c r="E860" s="533"/>
      <c r="F860" s="533"/>
      <c r="G860" s="533"/>
      <c r="J860" s="1573">
        <f>SUM(J858:J859)</f>
        <v>1245</v>
      </c>
      <c r="K860" s="1573">
        <f>SUM(K858:K859)</f>
        <v>110109</v>
      </c>
      <c r="L860" s="1573">
        <f>SUM(L858:L859)</f>
        <v>0</v>
      </c>
      <c r="M860" s="1573">
        <f>SUM(M858:M859)</f>
        <v>0</v>
      </c>
      <c r="N860" s="1573">
        <f>SUM(N858:N859)</f>
        <v>0</v>
      </c>
      <c r="O860" s="1573">
        <f t="shared" si="271"/>
        <v>111354</v>
      </c>
      <c r="R860" s="1565"/>
      <c r="S860" s="1565"/>
      <c r="T860" s="1565"/>
      <c r="U860" s="1477"/>
      <c r="V860" s="1477"/>
      <c r="W860" s="533"/>
      <c r="X860" s="533"/>
      <c r="Y860" s="533"/>
      <c r="Z860" s="533"/>
      <c r="AA860" s="533"/>
      <c r="AB860" s="757"/>
      <c r="AC860" s="757"/>
      <c r="AD860" s="757"/>
      <c r="AE860" s="757"/>
      <c r="AF860" s="757"/>
      <c r="AG860" s="757"/>
      <c r="AI860" s="533"/>
      <c r="GT860" s="615"/>
      <c r="GY860" s="615"/>
      <c r="GZ860" s="615"/>
      <c r="HA860" s="615"/>
      <c r="HB860" s="615"/>
      <c r="HC860" s="615"/>
      <c r="HD860" s="615"/>
      <c r="HE860" s="615"/>
      <c r="HF860" s="615"/>
      <c r="HG860" s="615"/>
      <c r="HH860" s="615"/>
      <c r="HI860" s="615"/>
      <c r="HJ860" s="615"/>
      <c r="HK860" s="615"/>
      <c r="HL860" s="615"/>
      <c r="HM860" s="615"/>
      <c r="HN860" s="615"/>
      <c r="HO860" s="615"/>
      <c r="HP860" s="615"/>
      <c r="HQ860" s="615"/>
      <c r="HR860" s="615"/>
      <c r="HS860" s="615"/>
      <c r="HT860" s="615"/>
      <c r="HU860" s="615"/>
      <c r="HV860" s="615"/>
      <c r="HW860" s="615"/>
      <c r="HX860" s="615"/>
      <c r="HY860" s="615"/>
      <c r="HZ860" s="615"/>
      <c r="IA860" s="615"/>
      <c r="IB860" s="615"/>
      <c r="IC860" s="615"/>
      <c r="ID860" s="615"/>
      <c r="IK860" s="29"/>
      <c r="IL860" s="29"/>
      <c r="JB860" s="29"/>
    </row>
    <row r="861" spans="1:263" ht="12" customHeight="1">
      <c r="C861" s="533" t="s">
        <v>2598</v>
      </c>
      <c r="D861" s="533"/>
      <c r="E861" s="533"/>
      <c r="F861" s="533"/>
      <c r="G861" s="533"/>
      <c r="J861" s="1573">
        <f>CY791</f>
        <v>0</v>
      </c>
      <c r="K861" s="1573">
        <f>CZ791</f>
        <v>0</v>
      </c>
      <c r="L861" s="1573">
        <f>DA791</f>
        <v>0</v>
      </c>
      <c r="M861" s="1573">
        <f>DB791</f>
        <v>0</v>
      </c>
      <c r="N861" s="1573">
        <f>DC791</f>
        <v>0</v>
      </c>
      <c r="O861" s="1573">
        <f t="shared" si="271"/>
        <v>0</v>
      </c>
      <c r="R861" s="1565"/>
      <c r="S861" s="1565"/>
      <c r="T861" s="1565"/>
      <c r="U861" s="1477"/>
      <c r="V861" s="1477"/>
      <c r="W861" s="533"/>
      <c r="X861" s="533"/>
      <c r="Y861" s="533"/>
      <c r="Z861" s="533"/>
      <c r="AA861" s="533"/>
      <c r="AB861" s="757"/>
      <c r="AC861" s="757"/>
      <c r="AD861" s="757"/>
      <c r="AE861" s="757"/>
      <c r="AF861" s="757"/>
      <c r="AG861" s="757"/>
      <c r="AI861" s="533"/>
      <c r="GT861" s="615"/>
      <c r="GY861" s="615"/>
      <c r="GZ861" s="615"/>
      <c r="HA861" s="615"/>
      <c r="HB861" s="615"/>
      <c r="HC861" s="615"/>
      <c r="HD861" s="615"/>
      <c r="HE861" s="615"/>
      <c r="HF861" s="615"/>
      <c r="HG861" s="615"/>
      <c r="HH861" s="615"/>
      <c r="HI861" s="615"/>
      <c r="HJ861" s="615"/>
      <c r="HK861" s="615"/>
      <c r="HL861" s="615"/>
      <c r="HM861" s="615"/>
      <c r="HN861" s="615"/>
      <c r="HO861" s="615"/>
      <c r="HP861" s="615"/>
      <c r="HQ861" s="615"/>
      <c r="HR861" s="615"/>
      <c r="HS861" s="615"/>
      <c r="HT861" s="615"/>
      <c r="HU861" s="615"/>
      <c r="HV861" s="615"/>
      <c r="HW861" s="615"/>
      <c r="HX861" s="615"/>
      <c r="HY861" s="615"/>
      <c r="HZ861" s="615"/>
      <c r="IA861" s="615"/>
      <c r="IB861" s="615"/>
      <c r="IC861" s="615"/>
      <c r="ID861" s="615"/>
      <c r="IK861" s="29"/>
      <c r="IL861" s="29"/>
      <c r="JB861" s="29"/>
    </row>
    <row r="862" spans="1:263" ht="12" customHeight="1">
      <c r="C862" s="533" t="s">
        <v>558</v>
      </c>
      <c r="D862" s="533"/>
      <c r="E862" s="533"/>
      <c r="F862" s="533"/>
      <c r="G862" s="533"/>
      <c r="J862" s="1573">
        <f>SUM(J860:J861)</f>
        <v>1245</v>
      </c>
      <c r="K862" s="1573">
        <f>SUM(K860:K861)</f>
        <v>110109</v>
      </c>
      <c r="L862" s="1573">
        <f>SUM(L860:L861)</f>
        <v>0</v>
      </c>
      <c r="M862" s="1573">
        <f>SUM(M860:M861)</f>
        <v>0</v>
      </c>
      <c r="N862" s="1573">
        <f>SUM(N860:N861)</f>
        <v>0</v>
      </c>
      <c r="O862" s="1573">
        <f t="shared" si="271"/>
        <v>111354</v>
      </c>
      <c r="R862" s="1565"/>
      <c r="S862" s="1565"/>
      <c r="T862" s="1565"/>
      <c r="U862" s="1477"/>
      <c r="V862" s="1477"/>
      <c r="W862" s="533"/>
      <c r="X862" s="533"/>
      <c r="Y862" s="533"/>
      <c r="Z862" s="533"/>
      <c r="AA862" s="533"/>
      <c r="AB862" s="757"/>
      <c r="AC862" s="757"/>
      <c r="AD862" s="757"/>
      <c r="AE862" s="757"/>
      <c r="AF862" s="757"/>
      <c r="AG862" s="757"/>
      <c r="AI862" s="533"/>
      <c r="GT862" s="615"/>
      <c r="GY862" s="615"/>
      <c r="GZ862" s="615"/>
      <c r="HA862" s="615"/>
      <c r="HB862" s="615"/>
      <c r="HC862" s="615"/>
      <c r="HD862" s="615"/>
      <c r="HE862" s="615"/>
      <c r="HF862" s="615"/>
      <c r="HG862" s="615"/>
      <c r="HH862" s="615"/>
      <c r="HI862" s="615"/>
      <c r="HJ862" s="615"/>
      <c r="HK862" s="615"/>
      <c r="HL862" s="615"/>
      <c r="HM862" s="615"/>
      <c r="HN862" s="615"/>
      <c r="HO862" s="615"/>
      <c r="HP862" s="615"/>
      <c r="HQ862" s="615"/>
      <c r="HR862" s="615"/>
      <c r="HS862" s="615"/>
      <c r="HT862" s="615"/>
      <c r="HU862" s="615"/>
      <c r="HV862" s="615"/>
      <c r="HW862" s="615"/>
      <c r="HX862" s="615"/>
      <c r="HY862" s="615"/>
      <c r="HZ862" s="615"/>
      <c r="IA862" s="615"/>
      <c r="IB862" s="615"/>
      <c r="IC862" s="615"/>
      <c r="ID862" s="615"/>
      <c r="IK862" s="29"/>
      <c r="IL862" s="29"/>
      <c r="JB862" s="29"/>
    </row>
    <row r="863" spans="1:263" ht="13.9" customHeight="1">
      <c r="A863" s="29" t="s">
        <v>772</v>
      </c>
      <c r="B863" s="29" t="s">
        <v>234</v>
      </c>
      <c r="R863" s="533"/>
      <c r="S863" s="533"/>
      <c r="T863" s="533"/>
      <c r="U863" s="29" t="s">
        <v>1915</v>
      </c>
      <c r="GZ863" s="615"/>
      <c r="HA863" s="615"/>
      <c r="HB863" s="615"/>
      <c r="HC863" s="615"/>
      <c r="HD863" s="615"/>
      <c r="HE863" s="615"/>
      <c r="HF863" s="615"/>
      <c r="HG863" s="615"/>
      <c r="HH863" s="615"/>
      <c r="HI863" s="615"/>
      <c r="HJ863" s="615"/>
      <c r="HK863" s="615"/>
      <c r="HL863" s="615"/>
      <c r="HM863" s="615"/>
      <c r="HN863" s="615"/>
      <c r="HO863" s="615"/>
      <c r="HP863" s="615"/>
      <c r="HQ863" s="615"/>
      <c r="HR863" s="615"/>
      <c r="HS863" s="615"/>
      <c r="HT863" s="615"/>
      <c r="HU863" s="615"/>
      <c r="HV863" s="615"/>
      <c r="HW863" s="615"/>
      <c r="HX863" s="615"/>
      <c r="HY863" s="615"/>
      <c r="HZ863" s="615"/>
      <c r="IA863" s="615"/>
      <c r="IB863" s="615"/>
      <c r="IC863" s="615"/>
      <c r="ID863" s="615"/>
      <c r="IE863" s="615"/>
      <c r="IL863" s="29"/>
      <c r="JB863" s="29"/>
      <c r="JC863" s="29"/>
    </row>
    <row r="864" spans="1:263" ht="2.25" customHeight="1">
      <c r="P864" s="533"/>
      <c r="Q864" s="533"/>
      <c r="GT864" s="615"/>
      <c r="GY864" s="615"/>
      <c r="GZ864" s="615"/>
      <c r="HA864" s="615"/>
      <c r="HB864" s="615"/>
      <c r="HC864" s="615"/>
      <c r="HD864" s="615"/>
      <c r="HE864" s="615"/>
      <c r="HF864" s="615"/>
      <c r="HG864" s="615"/>
      <c r="HH864" s="615"/>
      <c r="HI864" s="615"/>
      <c r="HJ864" s="615"/>
      <c r="HK864" s="615"/>
      <c r="HL864" s="615"/>
      <c r="HM864" s="615"/>
      <c r="HN864" s="615"/>
      <c r="HO864" s="615"/>
      <c r="HP864" s="615"/>
      <c r="HQ864" s="615"/>
      <c r="HR864" s="615"/>
      <c r="HS864" s="615"/>
      <c r="HT864" s="615"/>
      <c r="HU864" s="615"/>
      <c r="HV864" s="615"/>
      <c r="HW864" s="615"/>
      <c r="HX864" s="615"/>
      <c r="HY864" s="615"/>
      <c r="HZ864" s="615"/>
      <c r="IA864" s="615"/>
      <c r="IB864" s="615"/>
      <c r="IC864" s="615"/>
      <c r="ID864" s="615"/>
      <c r="IK864" s="29"/>
      <c r="JA864" s="29"/>
      <c r="JB864" s="29"/>
    </row>
    <row r="865" spans="2:262" ht="11.25" customHeight="1">
      <c r="B865" s="1574" t="s">
        <v>1053</v>
      </c>
      <c r="C865" s="1535"/>
      <c r="D865" s="109"/>
      <c r="E865" s="1535"/>
      <c r="F865" s="1535"/>
      <c r="G865" s="1535"/>
      <c r="H865" s="1575">
        <f>'Part VI-Revenues &amp; Expenses'!H122</f>
        <v>49830</v>
      </c>
      <c r="I865" s="1575"/>
      <c r="J865" s="1535"/>
      <c r="K865" s="1332" t="s">
        <v>2857</v>
      </c>
      <c r="L865" s="1535"/>
      <c r="M865" s="1535"/>
      <c r="N865" s="1535"/>
      <c r="O865" s="1576">
        <f>H865/L792</f>
        <v>0.02</v>
      </c>
      <c r="P865" s="109"/>
      <c r="Q865" s="109"/>
      <c r="U865" s="10" t="str">
        <f>B865</f>
        <v>Ancillary Income</v>
      </c>
      <c r="GT865" s="615"/>
      <c r="GY865" s="615"/>
      <c r="GZ865" s="615"/>
      <c r="HA865" s="615"/>
      <c r="HB865" s="615"/>
      <c r="HC865" s="615"/>
      <c r="HD865" s="615"/>
      <c r="HE865" s="615"/>
      <c r="HF865" s="615"/>
      <c r="HG865" s="615"/>
      <c r="HH865" s="615"/>
      <c r="HI865" s="615"/>
      <c r="HJ865" s="615"/>
      <c r="HK865" s="615"/>
      <c r="HL865" s="615"/>
      <c r="HM865" s="615"/>
      <c r="HN865" s="615"/>
      <c r="HO865" s="615"/>
      <c r="HP865" s="615"/>
      <c r="HQ865" s="615"/>
      <c r="HR865" s="615"/>
      <c r="HS865" s="615"/>
      <c r="HT865" s="615"/>
      <c r="HU865" s="615"/>
      <c r="HV865" s="615"/>
      <c r="HW865" s="615"/>
      <c r="HX865" s="615"/>
      <c r="HY865" s="615"/>
      <c r="HZ865" s="615"/>
      <c r="IA865" s="615"/>
      <c r="IB865" s="615"/>
      <c r="IC865" s="615"/>
      <c r="ID865" s="615"/>
      <c r="IK865" s="29"/>
      <c r="JA865" s="29"/>
      <c r="JB865" s="29"/>
    </row>
    <row r="866" spans="2:262" ht="2.25" customHeight="1">
      <c r="B866" s="1574"/>
      <c r="C866" s="1535"/>
      <c r="D866" s="109"/>
      <c r="E866" s="1577"/>
      <c r="F866" s="1535"/>
      <c r="G866" s="1535"/>
      <c r="H866" s="1535"/>
      <c r="I866" s="1578"/>
      <c r="J866" s="1535"/>
      <c r="K866" s="1535"/>
      <c r="L866" s="1535"/>
      <c r="M866" s="1535"/>
      <c r="N866" s="1535"/>
      <c r="O866" s="1535"/>
      <c r="P866" s="109"/>
      <c r="Q866" s="109"/>
      <c r="GT866" s="615"/>
      <c r="GY866" s="615"/>
      <c r="GZ866" s="615"/>
      <c r="HA866" s="615"/>
      <c r="HB866" s="615"/>
      <c r="HC866" s="615"/>
      <c r="HD866" s="615"/>
      <c r="HE866" s="615"/>
      <c r="HF866" s="615"/>
      <c r="HG866" s="615"/>
      <c r="HH866" s="615"/>
      <c r="HI866" s="615"/>
      <c r="HJ866" s="615"/>
      <c r="HK866" s="615"/>
      <c r="HL866" s="615"/>
      <c r="HM866" s="615"/>
      <c r="HN866" s="615"/>
      <c r="HO866" s="615"/>
      <c r="HP866" s="615"/>
      <c r="HQ866" s="615"/>
      <c r="HR866" s="615"/>
      <c r="HS866" s="615"/>
      <c r="HT866" s="615"/>
      <c r="HU866" s="615"/>
      <c r="HV866" s="615"/>
      <c r="HW866" s="615"/>
      <c r="HX866" s="615"/>
      <c r="HY866" s="615"/>
      <c r="HZ866" s="615"/>
      <c r="IA866" s="615"/>
      <c r="IB866" s="615"/>
      <c r="IC866" s="615"/>
      <c r="ID866" s="615"/>
      <c r="IK866" s="29"/>
      <c r="JA866" s="29"/>
      <c r="JB866" s="29"/>
    </row>
    <row r="867" spans="2:262" ht="11.25" customHeight="1">
      <c r="B867" s="1574" t="s">
        <v>1501</v>
      </c>
      <c r="C867" s="1535"/>
      <c r="D867" s="1535"/>
      <c r="E867" s="1535"/>
      <c r="F867" s="1535"/>
      <c r="G867" s="1535"/>
      <c r="H867" s="1535"/>
      <c r="I867" s="1574"/>
      <c r="J867" s="1535"/>
      <c r="K867" s="1315"/>
      <c r="L867" s="1535"/>
      <c r="M867" s="1535"/>
      <c r="N867" s="1535"/>
      <c r="O867" s="1535"/>
      <c r="P867" s="1535"/>
      <c r="U867" s="10" t="str">
        <f>B867</f>
        <v>Other Income (OI) by Year:</v>
      </c>
      <c r="GT867" s="615"/>
      <c r="GY867" s="615"/>
      <c r="GZ867" s="615"/>
      <c r="HA867" s="615"/>
      <c r="HB867" s="615"/>
      <c r="HC867" s="615"/>
      <c r="HD867" s="615"/>
      <c r="HE867" s="615"/>
      <c r="HF867" s="615"/>
      <c r="HG867" s="615"/>
      <c r="HH867" s="615"/>
      <c r="HI867" s="615"/>
      <c r="HJ867" s="615"/>
      <c r="HK867" s="615"/>
      <c r="HL867" s="615"/>
      <c r="HM867" s="615"/>
      <c r="HN867" s="615"/>
      <c r="HO867" s="615"/>
      <c r="HP867" s="615"/>
      <c r="HQ867" s="615"/>
      <c r="HR867" s="615"/>
      <c r="HS867" s="615"/>
      <c r="HT867" s="615"/>
      <c r="HU867" s="615"/>
      <c r="HV867" s="615"/>
      <c r="HW867" s="615"/>
      <c r="HX867" s="615"/>
      <c r="HY867" s="615"/>
      <c r="HZ867" s="615"/>
      <c r="IA867" s="615"/>
      <c r="IB867" s="615"/>
      <c r="IC867" s="615"/>
      <c r="ID867" s="615"/>
      <c r="IK867" s="29"/>
      <c r="JA867" s="29"/>
      <c r="JB867" s="29"/>
    </row>
    <row r="868" spans="2:262" ht="11.25" customHeight="1">
      <c r="B868" s="1579" t="s">
        <v>2366</v>
      </c>
      <c r="C868" s="1535"/>
      <c r="D868" s="1535"/>
      <c r="E868" s="1535"/>
      <c r="F868" s="1535"/>
      <c r="G868" s="1318">
        <v>1</v>
      </c>
      <c r="H868" s="1318">
        <v>2</v>
      </c>
      <c r="I868" s="1318">
        <v>3</v>
      </c>
      <c r="J868" s="1318">
        <v>4</v>
      </c>
      <c r="K868" s="1318">
        <v>5</v>
      </c>
      <c r="L868" s="1318">
        <v>6</v>
      </c>
      <c r="M868" s="1318">
        <v>7</v>
      </c>
      <c r="N868" s="1318">
        <v>8</v>
      </c>
      <c r="O868" s="1318">
        <v>9</v>
      </c>
      <c r="P868" s="1318">
        <v>10</v>
      </c>
      <c r="Q868" s="1580"/>
      <c r="U868" s="533" t="str">
        <f>B868</f>
        <v>Included in Mgt Fee:</v>
      </c>
      <c r="GT868" s="615"/>
      <c r="GY868" s="615"/>
      <c r="GZ868" s="615"/>
      <c r="HA868" s="615"/>
      <c r="HB868" s="615"/>
      <c r="HC868" s="615"/>
      <c r="HD868" s="615"/>
      <c r="HE868" s="615"/>
      <c r="HF868" s="615"/>
      <c r="HG868" s="615"/>
      <c r="HH868" s="615"/>
      <c r="HI868" s="615"/>
      <c r="HJ868" s="615"/>
      <c r="HK868" s="615"/>
      <c r="HL868" s="615"/>
      <c r="HM868" s="615"/>
      <c r="HN868" s="615"/>
      <c r="HO868" s="615"/>
      <c r="HP868" s="615"/>
      <c r="HQ868" s="615"/>
      <c r="HR868" s="615"/>
      <c r="HS868" s="615"/>
      <c r="HT868" s="615"/>
      <c r="HU868" s="615"/>
      <c r="HV868" s="615"/>
      <c r="HW868" s="615"/>
      <c r="HX868" s="615"/>
      <c r="HY868" s="615"/>
      <c r="HZ868" s="615"/>
      <c r="IA868" s="615"/>
      <c r="IB868" s="615"/>
      <c r="IC868" s="615"/>
      <c r="ID868" s="615"/>
      <c r="IK868" s="29"/>
      <c r="JA868" s="29"/>
      <c r="JB868" s="29"/>
    </row>
    <row r="869" spans="2:262" ht="11.25" customHeight="1">
      <c r="B869" s="109" t="s">
        <v>1054</v>
      </c>
      <c r="C869" s="109"/>
      <c r="D869" s="109"/>
      <c r="E869" s="109"/>
      <c r="F869" s="109"/>
      <c r="G869" s="1581">
        <f>'Part VI-Revenues &amp; Expenses'!G126</f>
        <v>0</v>
      </c>
      <c r="H869" s="1581">
        <f>'Part VI-Revenues &amp; Expenses'!H126</f>
        <v>0</v>
      </c>
      <c r="I869" s="1581">
        <f>'Part VI-Revenues &amp; Expenses'!I126</f>
        <v>0</v>
      </c>
      <c r="J869" s="1581">
        <f>'Part VI-Revenues &amp; Expenses'!J126</f>
        <v>0</v>
      </c>
      <c r="K869" s="1581">
        <f>'Part VI-Revenues &amp; Expenses'!K126</f>
        <v>0</v>
      </c>
      <c r="L869" s="1581">
        <f>'Part VI-Revenues &amp; Expenses'!L126</f>
        <v>0</v>
      </c>
      <c r="M869" s="1581">
        <f>'Part VI-Revenues &amp; Expenses'!M126</f>
        <v>0</v>
      </c>
      <c r="N869" s="1581">
        <f>'Part VI-Revenues &amp; Expenses'!N126</f>
        <v>0</v>
      </c>
      <c r="O869" s="1581">
        <f>'Part VI-Revenues &amp; Expenses'!O126</f>
        <v>0</v>
      </c>
      <c r="P869" s="1581">
        <f>'Part VI-Revenues &amp; Expenses'!P126</f>
        <v>0</v>
      </c>
      <c r="Q869" s="1582"/>
      <c r="U869" s="1477">
        <f>'Part VI-Revenues &amp; Expenses'!U126</f>
        <v>0</v>
      </c>
      <c r="V869" s="1477"/>
      <c r="GT869" s="615"/>
      <c r="GY869" s="615"/>
      <c r="GZ869" s="615"/>
      <c r="HA869" s="615"/>
      <c r="HB869" s="615"/>
      <c r="HC869" s="615"/>
      <c r="HD869" s="615"/>
      <c r="HE869" s="615"/>
      <c r="HF869" s="615"/>
      <c r="HG869" s="615"/>
      <c r="HH869" s="615"/>
      <c r="HI869" s="615"/>
      <c r="HJ869" s="615"/>
      <c r="HK869" s="615"/>
      <c r="HL869" s="615"/>
      <c r="HM869" s="615"/>
      <c r="HN869" s="615"/>
      <c r="HO869" s="615"/>
      <c r="HP869" s="615"/>
      <c r="HQ869" s="615"/>
      <c r="HR869" s="615"/>
      <c r="HS869" s="615"/>
      <c r="HT869" s="615"/>
      <c r="HU869" s="615"/>
      <c r="HV869" s="615"/>
      <c r="HW869" s="615"/>
      <c r="HX869" s="615"/>
      <c r="HY869" s="615"/>
      <c r="HZ869" s="615"/>
      <c r="IA869" s="615"/>
      <c r="IB869" s="615"/>
      <c r="IC869" s="615"/>
      <c r="ID869" s="615"/>
      <c r="IK869" s="29"/>
      <c r="JA869" s="29"/>
      <c r="JB869" s="29"/>
    </row>
    <row r="870" spans="2:262" ht="11.25" customHeight="1">
      <c r="B870" s="109" t="s">
        <v>771</v>
      </c>
      <c r="C870" s="109">
        <f>'Part VI-Revenues &amp; Expenses'!C127</f>
        <v>0</v>
      </c>
      <c r="D870" s="109"/>
      <c r="E870" s="109"/>
      <c r="F870" s="109"/>
      <c r="G870" s="1581">
        <f>'Part VI-Revenues &amp; Expenses'!G127</f>
        <v>0</v>
      </c>
      <c r="H870" s="1581">
        <f>'Part VI-Revenues &amp; Expenses'!H127</f>
        <v>0</v>
      </c>
      <c r="I870" s="1581">
        <f>'Part VI-Revenues &amp; Expenses'!I127</f>
        <v>0</v>
      </c>
      <c r="J870" s="1581">
        <f>'Part VI-Revenues &amp; Expenses'!J127</f>
        <v>0</v>
      </c>
      <c r="K870" s="1581">
        <f>'Part VI-Revenues &amp; Expenses'!K127</f>
        <v>0</v>
      </c>
      <c r="L870" s="1581">
        <f>'Part VI-Revenues &amp; Expenses'!L127</f>
        <v>0</v>
      </c>
      <c r="M870" s="1581">
        <f>'Part VI-Revenues &amp; Expenses'!M127</f>
        <v>0</v>
      </c>
      <c r="N870" s="1581">
        <f>'Part VI-Revenues &amp; Expenses'!N127</f>
        <v>0</v>
      </c>
      <c r="O870" s="1581">
        <f>'Part VI-Revenues &amp; Expenses'!O127</f>
        <v>0</v>
      </c>
      <c r="P870" s="1581">
        <f>'Part VI-Revenues &amp; Expenses'!P127</f>
        <v>0</v>
      </c>
      <c r="Q870" s="1582"/>
      <c r="U870" s="1477"/>
      <c r="V870" s="1477"/>
      <c r="GT870" s="615"/>
      <c r="GY870" s="615"/>
      <c r="GZ870" s="615"/>
      <c r="HA870" s="615"/>
      <c r="HB870" s="615"/>
      <c r="HC870" s="615"/>
      <c r="HD870" s="615"/>
      <c r="HE870" s="615"/>
      <c r="HF870" s="615"/>
      <c r="HG870" s="615"/>
      <c r="HH870" s="615"/>
      <c r="HI870" s="615"/>
      <c r="HJ870" s="615"/>
      <c r="HK870" s="615"/>
      <c r="HL870" s="615"/>
      <c r="HM870" s="615"/>
      <c r="HN870" s="615"/>
      <c r="HO870" s="615"/>
      <c r="HP870" s="615"/>
      <c r="HQ870" s="615"/>
      <c r="HR870" s="615"/>
      <c r="HS870" s="615"/>
      <c r="HT870" s="615"/>
      <c r="HU870" s="615"/>
      <c r="HV870" s="615"/>
      <c r="HW870" s="615"/>
      <c r="HX870" s="615"/>
      <c r="HY870" s="615"/>
      <c r="HZ870" s="615"/>
      <c r="IA870" s="615"/>
      <c r="IB870" s="615"/>
      <c r="IC870" s="615"/>
      <c r="ID870" s="615"/>
      <c r="IK870" s="29"/>
      <c r="JA870" s="29"/>
      <c r="JB870" s="29"/>
    </row>
    <row r="871" spans="2:262" ht="11.25" customHeight="1">
      <c r="B871" s="109"/>
      <c r="C871" s="109" t="s">
        <v>961</v>
      </c>
      <c r="D871" s="109"/>
      <c r="E871" s="109"/>
      <c r="F871" s="109"/>
      <c r="G871" s="1583">
        <f t="shared" ref="G871:P871" si="272">SUM(G869:G870)</f>
        <v>0</v>
      </c>
      <c r="H871" s="1583">
        <f t="shared" si="272"/>
        <v>0</v>
      </c>
      <c r="I871" s="1583">
        <f t="shared" si="272"/>
        <v>0</v>
      </c>
      <c r="J871" s="1583">
        <f t="shared" si="272"/>
        <v>0</v>
      </c>
      <c r="K871" s="1583">
        <f t="shared" si="272"/>
        <v>0</v>
      </c>
      <c r="L871" s="1583">
        <f t="shared" si="272"/>
        <v>0</v>
      </c>
      <c r="M871" s="1583">
        <f t="shared" si="272"/>
        <v>0</v>
      </c>
      <c r="N871" s="1583">
        <f t="shared" si="272"/>
        <v>0</v>
      </c>
      <c r="O871" s="1583">
        <f t="shared" si="272"/>
        <v>0</v>
      </c>
      <c r="P871" s="1583">
        <f t="shared" si="272"/>
        <v>0</v>
      </c>
      <c r="Q871" s="757"/>
      <c r="U871" s="1477"/>
      <c r="V871" s="1477"/>
      <c r="GT871" s="615"/>
      <c r="GY871" s="615"/>
      <c r="GZ871" s="615"/>
      <c r="HA871" s="615"/>
      <c r="HB871" s="615"/>
      <c r="HC871" s="615"/>
      <c r="HD871" s="615"/>
      <c r="HE871" s="615"/>
      <c r="HF871" s="615"/>
      <c r="HG871" s="615"/>
      <c r="HH871" s="615"/>
      <c r="HI871" s="615"/>
      <c r="HJ871" s="615"/>
      <c r="HK871" s="615"/>
      <c r="HL871" s="615"/>
      <c r="HM871" s="615"/>
      <c r="HN871" s="615"/>
      <c r="HO871" s="615"/>
      <c r="HP871" s="615"/>
      <c r="HQ871" s="615"/>
      <c r="HR871" s="615"/>
      <c r="HS871" s="615"/>
      <c r="HT871" s="615"/>
      <c r="HU871" s="615"/>
      <c r="HV871" s="615"/>
      <c r="HW871" s="615"/>
      <c r="HX871" s="615"/>
      <c r="HY871" s="615"/>
      <c r="HZ871" s="615"/>
      <c r="IA871" s="615"/>
      <c r="IB871" s="615"/>
      <c r="IC871" s="615"/>
      <c r="ID871" s="615"/>
      <c r="IK871" s="29"/>
      <c r="JA871" s="29"/>
      <c r="JB871" s="29"/>
    </row>
    <row r="872" spans="2:262" ht="11.25" customHeight="1">
      <c r="B872" s="1579" t="s">
        <v>4233</v>
      </c>
      <c r="C872" s="1535"/>
      <c r="D872" s="1535"/>
      <c r="E872" s="1535"/>
      <c r="F872" s="1535"/>
      <c r="G872" s="1584"/>
      <c r="H872" s="1535"/>
      <c r="I872" s="1535"/>
      <c r="J872" s="1535"/>
      <c r="K872" s="1535"/>
      <c r="L872" s="1535"/>
      <c r="M872" s="1535"/>
      <c r="N872" s="1535"/>
      <c r="O872" s="1535"/>
      <c r="P872" s="1535"/>
      <c r="U872" s="533" t="str">
        <f>B872</f>
        <v>NOT Included in Mgt Fee:</v>
      </c>
      <c r="GT872" s="615"/>
      <c r="GY872" s="615"/>
      <c r="GZ872" s="615"/>
      <c r="HA872" s="615"/>
      <c r="HB872" s="615"/>
      <c r="HC872" s="615"/>
      <c r="HD872" s="615"/>
      <c r="HE872" s="615"/>
      <c r="HF872" s="615"/>
      <c r="HG872" s="615"/>
      <c r="HH872" s="615"/>
      <c r="HI872" s="615"/>
      <c r="HJ872" s="615"/>
      <c r="HK872" s="615"/>
      <c r="HL872" s="615"/>
      <c r="HM872" s="615"/>
      <c r="HN872" s="615"/>
      <c r="HO872" s="615"/>
      <c r="HP872" s="615"/>
      <c r="HQ872" s="615"/>
      <c r="HR872" s="615"/>
      <c r="HS872" s="615"/>
      <c r="HT872" s="615"/>
      <c r="HU872" s="615"/>
      <c r="HV872" s="615"/>
      <c r="HW872" s="615"/>
      <c r="HX872" s="615"/>
      <c r="HY872" s="615"/>
      <c r="HZ872" s="615"/>
      <c r="IA872" s="615"/>
      <c r="IB872" s="615"/>
      <c r="IC872" s="615"/>
      <c r="ID872" s="615"/>
      <c r="IK872" s="29"/>
      <c r="JA872" s="29"/>
      <c r="JB872" s="29"/>
    </row>
    <row r="873" spans="2:262" ht="11.25" customHeight="1">
      <c r="B873" s="109" t="s">
        <v>552</v>
      </c>
      <c r="C873" s="109"/>
      <c r="D873" s="109"/>
      <c r="E873" s="109"/>
      <c r="F873" s="109"/>
      <c r="G873" s="1581">
        <f>'Part VI-Revenues &amp; Expenses'!G130</f>
        <v>0</v>
      </c>
      <c r="H873" s="1581">
        <f>'Part VI-Revenues &amp; Expenses'!H130</f>
        <v>0</v>
      </c>
      <c r="I873" s="1581">
        <f>'Part VI-Revenues &amp; Expenses'!I130</f>
        <v>0</v>
      </c>
      <c r="J873" s="1581">
        <f>'Part VI-Revenues &amp; Expenses'!J130</f>
        <v>0</v>
      </c>
      <c r="K873" s="1581">
        <f>'Part VI-Revenues &amp; Expenses'!K130</f>
        <v>0</v>
      </c>
      <c r="L873" s="1581">
        <f>'Part VI-Revenues &amp; Expenses'!L130</f>
        <v>0</v>
      </c>
      <c r="M873" s="1581">
        <f>'Part VI-Revenues &amp; Expenses'!M130</f>
        <v>0</v>
      </c>
      <c r="N873" s="1581">
        <f>'Part VI-Revenues &amp; Expenses'!N130</f>
        <v>0</v>
      </c>
      <c r="O873" s="1581">
        <f>'Part VI-Revenues &amp; Expenses'!O130</f>
        <v>0</v>
      </c>
      <c r="P873" s="1581">
        <f>'Part VI-Revenues &amp; Expenses'!P130</f>
        <v>0</v>
      </c>
      <c r="Q873" s="1582"/>
      <c r="U873" s="1477">
        <f>'Part VI-Revenues &amp; Expenses'!U130</f>
        <v>0</v>
      </c>
      <c r="V873" s="1477"/>
      <c r="GT873" s="615"/>
      <c r="GY873" s="615"/>
      <c r="GZ873" s="615"/>
      <c r="HA873" s="615"/>
      <c r="HB873" s="615"/>
      <c r="HC873" s="615"/>
      <c r="HD873" s="615"/>
      <c r="HE873" s="615"/>
      <c r="HF873" s="615"/>
      <c r="HG873" s="615"/>
      <c r="HH873" s="615"/>
      <c r="HI873" s="615"/>
      <c r="HJ873" s="615"/>
      <c r="HK873" s="615"/>
      <c r="HL873" s="615"/>
      <c r="HM873" s="615"/>
      <c r="HN873" s="615"/>
      <c r="HO873" s="615"/>
      <c r="HP873" s="615"/>
      <c r="HQ873" s="615"/>
      <c r="HR873" s="615"/>
      <c r="HS873" s="615"/>
      <c r="HT873" s="615"/>
      <c r="HU873" s="615"/>
      <c r="HV873" s="615"/>
      <c r="HW873" s="615"/>
      <c r="HX873" s="615"/>
      <c r="HY873" s="615"/>
      <c r="HZ873" s="615"/>
      <c r="IA873" s="615"/>
      <c r="IB873" s="615"/>
      <c r="IC873" s="615"/>
      <c r="ID873" s="615"/>
      <c r="IK873" s="29"/>
      <c r="JA873" s="29"/>
      <c r="JB873" s="29"/>
    </row>
    <row r="874" spans="2:262" ht="11.25" customHeight="1">
      <c r="B874" s="109" t="s">
        <v>771</v>
      </c>
      <c r="C874" s="109">
        <f>'Part VI-Revenues &amp; Expenses'!C131</f>
        <v>0</v>
      </c>
      <c r="D874" s="109"/>
      <c r="E874" s="109"/>
      <c r="F874" s="109"/>
      <c r="G874" s="1581">
        <f>'Part VI-Revenues &amp; Expenses'!G131</f>
        <v>0</v>
      </c>
      <c r="H874" s="1581">
        <f>'Part VI-Revenues &amp; Expenses'!H131</f>
        <v>0</v>
      </c>
      <c r="I874" s="1581">
        <f>'Part VI-Revenues &amp; Expenses'!I131</f>
        <v>0</v>
      </c>
      <c r="J874" s="1581">
        <f>'Part VI-Revenues &amp; Expenses'!J131</f>
        <v>0</v>
      </c>
      <c r="K874" s="1581">
        <f>'Part VI-Revenues &amp; Expenses'!K131</f>
        <v>0</v>
      </c>
      <c r="L874" s="1581">
        <f>'Part VI-Revenues &amp; Expenses'!L131</f>
        <v>0</v>
      </c>
      <c r="M874" s="1581">
        <f>'Part VI-Revenues &amp; Expenses'!M131</f>
        <v>0</v>
      </c>
      <c r="N874" s="1581">
        <f>'Part VI-Revenues &amp; Expenses'!N131</f>
        <v>0</v>
      </c>
      <c r="O874" s="1581">
        <f>'Part VI-Revenues &amp; Expenses'!O131</f>
        <v>0</v>
      </c>
      <c r="P874" s="1581">
        <f>'Part VI-Revenues &amp; Expenses'!P131</f>
        <v>0</v>
      </c>
      <c r="Q874" s="1582"/>
      <c r="U874" s="1477"/>
      <c r="V874" s="1477"/>
      <c r="GT874" s="615"/>
      <c r="GY874" s="615"/>
      <c r="GZ874" s="615"/>
      <c r="HA874" s="615"/>
      <c r="HB874" s="615"/>
      <c r="HC874" s="615"/>
      <c r="HD874" s="615"/>
      <c r="HE874" s="615"/>
      <c r="HF874" s="615"/>
      <c r="HG874" s="615"/>
      <c r="HH874" s="615"/>
      <c r="HI874" s="615"/>
      <c r="HJ874" s="615"/>
      <c r="HK874" s="615"/>
      <c r="HL874" s="615"/>
      <c r="HM874" s="615"/>
      <c r="HN874" s="615"/>
      <c r="HO874" s="615"/>
      <c r="HP874" s="615"/>
      <c r="HQ874" s="615"/>
      <c r="HR874" s="615"/>
      <c r="HS874" s="615"/>
      <c r="HT874" s="615"/>
      <c r="HU874" s="615"/>
      <c r="HV874" s="615"/>
      <c r="HW874" s="615"/>
      <c r="HX874" s="615"/>
      <c r="HY874" s="615"/>
      <c r="HZ874" s="615"/>
      <c r="IA874" s="615"/>
      <c r="IB874" s="615"/>
      <c r="IC874" s="615"/>
      <c r="ID874" s="615"/>
      <c r="IK874" s="29"/>
      <c r="JA874" s="29"/>
      <c r="JB874" s="29"/>
    </row>
    <row r="875" spans="2:262" ht="11.25" customHeight="1">
      <c r="B875" s="109"/>
      <c r="C875" s="109" t="s">
        <v>198</v>
      </c>
      <c r="D875" s="109"/>
      <c r="E875" s="109"/>
      <c r="F875" s="109"/>
      <c r="G875" s="1583">
        <f t="shared" ref="G875:P875" si="273">SUM(G873:G874)</f>
        <v>0</v>
      </c>
      <c r="H875" s="1583">
        <f t="shared" si="273"/>
        <v>0</v>
      </c>
      <c r="I875" s="1583">
        <f t="shared" si="273"/>
        <v>0</v>
      </c>
      <c r="J875" s="1583">
        <f t="shared" si="273"/>
        <v>0</v>
      </c>
      <c r="K875" s="1583">
        <f t="shared" si="273"/>
        <v>0</v>
      </c>
      <c r="L875" s="1583">
        <f t="shared" si="273"/>
        <v>0</v>
      </c>
      <c r="M875" s="1583">
        <f t="shared" si="273"/>
        <v>0</v>
      </c>
      <c r="N875" s="1583">
        <f t="shared" si="273"/>
        <v>0</v>
      </c>
      <c r="O875" s="1583">
        <f t="shared" si="273"/>
        <v>0</v>
      </c>
      <c r="P875" s="1583">
        <f t="shared" si="273"/>
        <v>0</v>
      </c>
      <c r="Q875" s="757"/>
      <c r="U875" s="1477"/>
      <c r="V875" s="1477"/>
      <c r="GT875" s="615"/>
      <c r="GY875" s="615"/>
      <c r="GZ875" s="615"/>
      <c r="HA875" s="615"/>
      <c r="HB875" s="615"/>
      <c r="HC875" s="615"/>
      <c r="HD875" s="615"/>
      <c r="HE875" s="615"/>
      <c r="HF875" s="615"/>
      <c r="HG875" s="615"/>
      <c r="HH875" s="615"/>
      <c r="HI875" s="615"/>
      <c r="HJ875" s="615"/>
      <c r="HK875" s="615"/>
      <c r="HL875" s="615"/>
      <c r="HM875" s="615"/>
      <c r="HN875" s="615"/>
      <c r="HO875" s="615"/>
      <c r="HP875" s="615"/>
      <c r="HQ875" s="615"/>
      <c r="HR875" s="615"/>
      <c r="HS875" s="615"/>
      <c r="HT875" s="615"/>
      <c r="HU875" s="615"/>
      <c r="HV875" s="615"/>
      <c r="HW875" s="615"/>
      <c r="HX875" s="615"/>
      <c r="HY875" s="615"/>
      <c r="HZ875" s="615"/>
      <c r="IA875" s="615"/>
      <c r="IB875" s="615"/>
      <c r="IC875" s="615"/>
      <c r="ID875" s="615"/>
      <c r="IK875" s="29"/>
      <c r="JA875" s="29"/>
      <c r="JB875" s="29"/>
    </row>
    <row r="876" spans="2:262" ht="3" customHeight="1">
      <c r="B876" s="1574"/>
      <c r="C876" s="1535"/>
      <c r="D876" s="1535"/>
      <c r="E876" s="1535"/>
      <c r="F876" s="1535"/>
      <c r="G876" s="1584"/>
      <c r="H876" s="1535"/>
      <c r="I876" s="1535"/>
      <c r="J876" s="1535"/>
      <c r="K876" s="1535"/>
      <c r="L876" s="1535"/>
      <c r="M876" s="1535"/>
      <c r="N876" s="1535"/>
      <c r="O876" s="1535"/>
      <c r="P876" s="1535"/>
      <c r="U876" s="1159" t="s">
        <v>2710</v>
      </c>
      <c r="GT876" s="615"/>
      <c r="GY876" s="615"/>
      <c r="GZ876" s="615"/>
      <c r="HA876" s="615"/>
      <c r="HB876" s="615"/>
      <c r="HC876" s="615"/>
      <c r="HD876" s="615"/>
      <c r="HE876" s="615"/>
      <c r="HF876" s="615"/>
      <c r="HG876" s="615"/>
      <c r="HH876" s="615"/>
      <c r="HI876" s="615"/>
      <c r="HJ876" s="615"/>
      <c r="HK876" s="615"/>
      <c r="HL876" s="615"/>
      <c r="HM876" s="615"/>
      <c r="HN876" s="615"/>
      <c r="HO876" s="615"/>
      <c r="HP876" s="615"/>
      <c r="HQ876" s="615"/>
      <c r="HR876" s="615"/>
      <c r="HS876" s="615"/>
      <c r="HT876" s="615"/>
      <c r="HU876" s="615"/>
      <c r="HV876" s="615"/>
      <c r="HW876" s="615"/>
      <c r="HX876" s="615"/>
      <c r="HY876" s="615"/>
      <c r="HZ876" s="615"/>
      <c r="IA876" s="615"/>
      <c r="IB876" s="615"/>
      <c r="IC876" s="615"/>
      <c r="ID876" s="615"/>
      <c r="IK876" s="29"/>
      <c r="JA876" s="29"/>
      <c r="JB876" s="29"/>
    </row>
    <row r="877" spans="2:262" ht="11.25" customHeight="1">
      <c r="B877" s="1579" t="s">
        <v>2366</v>
      </c>
      <c r="C877" s="1535"/>
      <c r="D877" s="1535"/>
      <c r="E877" s="1535"/>
      <c r="F877" s="1535"/>
      <c r="G877" s="1318">
        <v>11</v>
      </c>
      <c r="H877" s="1318">
        <v>12</v>
      </c>
      <c r="I877" s="1318">
        <v>13</v>
      </c>
      <c r="J877" s="1318">
        <v>14</v>
      </c>
      <c r="K877" s="1318">
        <v>15</v>
      </c>
      <c r="L877" s="1318">
        <v>16</v>
      </c>
      <c r="M877" s="1318">
        <v>17</v>
      </c>
      <c r="N877" s="1318">
        <v>18</v>
      </c>
      <c r="O877" s="1318">
        <v>19</v>
      </c>
      <c r="P877" s="1318">
        <v>20</v>
      </c>
      <c r="Q877" s="1580"/>
      <c r="U877" s="533" t="str">
        <f>B877</f>
        <v>Included in Mgt Fee:</v>
      </c>
      <c r="GT877" s="615"/>
      <c r="GY877" s="615"/>
      <c r="GZ877" s="615"/>
      <c r="HA877" s="615"/>
      <c r="HB877" s="615"/>
      <c r="HC877" s="615"/>
      <c r="HD877" s="615"/>
      <c r="HE877" s="615"/>
      <c r="HF877" s="615"/>
      <c r="HG877" s="615"/>
      <c r="HH877" s="615"/>
      <c r="HI877" s="615"/>
      <c r="HJ877" s="615"/>
      <c r="HK877" s="615"/>
      <c r="HL877" s="615"/>
      <c r="HM877" s="615"/>
      <c r="HN877" s="615"/>
      <c r="HO877" s="615"/>
      <c r="HP877" s="615"/>
      <c r="HQ877" s="615"/>
      <c r="HR877" s="615"/>
      <c r="HS877" s="615"/>
      <c r="HT877" s="615"/>
      <c r="HU877" s="615"/>
      <c r="HV877" s="615"/>
      <c r="HW877" s="615"/>
      <c r="HX877" s="615"/>
      <c r="HY877" s="615"/>
      <c r="HZ877" s="615"/>
      <c r="IA877" s="615"/>
      <c r="IB877" s="615"/>
      <c r="IC877" s="615"/>
      <c r="ID877" s="615"/>
      <c r="IK877" s="29"/>
      <c r="JA877" s="29"/>
      <c r="JB877" s="29"/>
    </row>
    <row r="878" spans="2:262" ht="11.25" customHeight="1">
      <c r="B878" s="109" t="s">
        <v>1054</v>
      </c>
      <c r="C878" s="109"/>
      <c r="D878" s="109"/>
      <c r="E878" s="109"/>
      <c r="F878" s="109"/>
      <c r="G878" s="1581">
        <f>'Part VI-Revenues &amp; Expenses'!G135</f>
        <v>0</v>
      </c>
      <c r="H878" s="1581">
        <f>'Part VI-Revenues &amp; Expenses'!H135</f>
        <v>0</v>
      </c>
      <c r="I878" s="1581">
        <f>'Part VI-Revenues &amp; Expenses'!I135</f>
        <v>0</v>
      </c>
      <c r="J878" s="1581">
        <f>'Part VI-Revenues &amp; Expenses'!J135</f>
        <v>0</v>
      </c>
      <c r="K878" s="1581">
        <f>'Part VI-Revenues &amp; Expenses'!K135</f>
        <v>0</v>
      </c>
      <c r="L878" s="1581">
        <f>'Part VI-Revenues &amp; Expenses'!L135</f>
        <v>0</v>
      </c>
      <c r="M878" s="1581">
        <f>'Part VI-Revenues &amp; Expenses'!M135</f>
        <v>0</v>
      </c>
      <c r="N878" s="1581">
        <f>'Part VI-Revenues &amp; Expenses'!N135</f>
        <v>0</v>
      </c>
      <c r="O878" s="1581">
        <f>'Part VI-Revenues &amp; Expenses'!O135</f>
        <v>0</v>
      </c>
      <c r="P878" s="1581">
        <f>'Part VI-Revenues &amp; Expenses'!P135</f>
        <v>0</v>
      </c>
      <c r="Q878" s="1582"/>
      <c r="U878" s="1477">
        <f>'Part VI-Revenues &amp; Expenses'!U135</f>
        <v>0</v>
      </c>
      <c r="V878" s="1477"/>
      <c r="GT878" s="615"/>
      <c r="GY878" s="615"/>
      <c r="GZ878" s="615"/>
      <c r="HA878" s="615"/>
      <c r="HB878" s="615"/>
      <c r="HC878" s="615"/>
      <c r="HD878" s="615"/>
      <c r="HE878" s="615"/>
      <c r="HF878" s="615"/>
      <c r="HG878" s="615"/>
      <c r="HH878" s="615"/>
      <c r="HI878" s="615"/>
      <c r="HJ878" s="615"/>
      <c r="HK878" s="615"/>
      <c r="HL878" s="615"/>
      <c r="HM878" s="615"/>
      <c r="HN878" s="615"/>
      <c r="HO878" s="615"/>
      <c r="HP878" s="615"/>
      <c r="HQ878" s="615"/>
      <c r="HR878" s="615"/>
      <c r="HS878" s="615"/>
      <c r="HT878" s="615"/>
      <c r="HU878" s="615"/>
      <c r="HV878" s="615"/>
      <c r="HW878" s="615"/>
      <c r="HX878" s="615"/>
      <c r="HY878" s="615"/>
      <c r="HZ878" s="615"/>
      <c r="IA878" s="615"/>
      <c r="IB878" s="615"/>
      <c r="IC878" s="615"/>
      <c r="ID878" s="615"/>
      <c r="IK878" s="29"/>
      <c r="JA878" s="29"/>
      <c r="JB878" s="29"/>
    </row>
    <row r="879" spans="2:262" ht="11.25" customHeight="1">
      <c r="B879" s="109" t="s">
        <v>771</v>
      </c>
      <c r="C879" s="109">
        <f>'Part VI-Revenues &amp; Expenses'!C136</f>
        <v>0</v>
      </c>
      <c r="D879" s="109"/>
      <c r="E879" s="109"/>
      <c r="F879" s="109"/>
      <c r="G879" s="1581">
        <f>'Part VI-Revenues &amp; Expenses'!G136</f>
        <v>0</v>
      </c>
      <c r="H879" s="1581">
        <f>'Part VI-Revenues &amp; Expenses'!H136</f>
        <v>0</v>
      </c>
      <c r="I879" s="1581">
        <f>'Part VI-Revenues &amp; Expenses'!I136</f>
        <v>0</v>
      </c>
      <c r="J879" s="1581">
        <f>'Part VI-Revenues &amp; Expenses'!J136</f>
        <v>0</v>
      </c>
      <c r="K879" s="1581">
        <f>'Part VI-Revenues &amp; Expenses'!K136</f>
        <v>0</v>
      </c>
      <c r="L879" s="1581">
        <f>'Part VI-Revenues &amp; Expenses'!L136</f>
        <v>0</v>
      </c>
      <c r="M879" s="1581">
        <f>'Part VI-Revenues &amp; Expenses'!M136</f>
        <v>0</v>
      </c>
      <c r="N879" s="1581">
        <f>'Part VI-Revenues &amp; Expenses'!N136</f>
        <v>0</v>
      </c>
      <c r="O879" s="1581">
        <f>'Part VI-Revenues &amp; Expenses'!O136</f>
        <v>0</v>
      </c>
      <c r="P879" s="1581">
        <f>'Part VI-Revenues &amp; Expenses'!P136</f>
        <v>0</v>
      </c>
      <c r="Q879" s="1582"/>
      <c r="U879" s="1477"/>
      <c r="V879" s="1477"/>
      <c r="GT879" s="615"/>
      <c r="GY879" s="615"/>
      <c r="GZ879" s="615"/>
      <c r="HA879" s="615"/>
      <c r="HB879" s="615"/>
      <c r="HC879" s="615"/>
      <c r="HD879" s="615"/>
      <c r="HE879" s="615"/>
      <c r="HF879" s="615"/>
      <c r="HG879" s="615"/>
      <c r="HH879" s="615"/>
      <c r="HI879" s="615"/>
      <c r="HJ879" s="615"/>
      <c r="HK879" s="615"/>
      <c r="HL879" s="615"/>
      <c r="HM879" s="615"/>
      <c r="HN879" s="615"/>
      <c r="HO879" s="615"/>
      <c r="HP879" s="615"/>
      <c r="HQ879" s="615"/>
      <c r="HR879" s="615"/>
      <c r="HS879" s="615"/>
      <c r="HT879" s="615"/>
      <c r="HU879" s="615"/>
      <c r="HV879" s="615"/>
      <c r="HW879" s="615"/>
      <c r="HX879" s="615"/>
      <c r="HY879" s="615"/>
      <c r="HZ879" s="615"/>
      <c r="IA879" s="615"/>
      <c r="IB879" s="615"/>
      <c r="IC879" s="615"/>
      <c r="ID879" s="615"/>
      <c r="IK879" s="29"/>
      <c r="JA879" s="29"/>
      <c r="JB879" s="29"/>
    </row>
    <row r="880" spans="2:262" ht="11.25" customHeight="1">
      <c r="B880" s="109"/>
      <c r="C880" s="109" t="s">
        <v>961</v>
      </c>
      <c r="D880" s="109"/>
      <c r="E880" s="109"/>
      <c r="F880" s="109"/>
      <c r="G880" s="1583">
        <f t="shared" ref="G880:P880" si="274">SUM(G878:G879)</f>
        <v>0</v>
      </c>
      <c r="H880" s="1583">
        <f t="shared" si="274"/>
        <v>0</v>
      </c>
      <c r="I880" s="1583">
        <f t="shared" si="274"/>
        <v>0</v>
      </c>
      <c r="J880" s="1583">
        <f t="shared" si="274"/>
        <v>0</v>
      </c>
      <c r="K880" s="1583">
        <f t="shared" si="274"/>
        <v>0</v>
      </c>
      <c r="L880" s="1583">
        <f t="shared" si="274"/>
        <v>0</v>
      </c>
      <c r="M880" s="1583">
        <f t="shared" si="274"/>
        <v>0</v>
      </c>
      <c r="N880" s="1583">
        <f t="shared" si="274"/>
        <v>0</v>
      </c>
      <c r="O880" s="1583">
        <f t="shared" si="274"/>
        <v>0</v>
      </c>
      <c r="P880" s="1583">
        <f t="shared" si="274"/>
        <v>0</v>
      </c>
      <c r="Q880" s="757"/>
      <c r="U880" s="1477"/>
      <c r="V880" s="1477"/>
      <c r="GT880" s="615"/>
      <c r="GY880" s="615"/>
      <c r="GZ880" s="615"/>
      <c r="HA880" s="615"/>
      <c r="HB880" s="615"/>
      <c r="HC880" s="615"/>
      <c r="HD880" s="615"/>
      <c r="HE880" s="615"/>
      <c r="HF880" s="615"/>
      <c r="HG880" s="615"/>
      <c r="HH880" s="615"/>
      <c r="HI880" s="615"/>
      <c r="HJ880" s="615"/>
      <c r="HK880" s="615"/>
      <c r="HL880" s="615"/>
      <c r="HM880" s="615"/>
      <c r="HN880" s="615"/>
      <c r="HO880" s="615"/>
      <c r="HP880" s="615"/>
      <c r="HQ880" s="615"/>
      <c r="HR880" s="615"/>
      <c r="HS880" s="615"/>
      <c r="HT880" s="615"/>
      <c r="HU880" s="615"/>
      <c r="HV880" s="615"/>
      <c r="HW880" s="615"/>
      <c r="HX880" s="615"/>
      <c r="HY880" s="615"/>
      <c r="HZ880" s="615"/>
      <c r="IA880" s="615"/>
      <c r="IB880" s="615"/>
      <c r="IC880" s="615"/>
      <c r="ID880" s="615"/>
      <c r="IK880" s="29"/>
      <c r="JA880" s="29"/>
      <c r="JB880" s="29"/>
    </row>
    <row r="881" spans="2:262" ht="11.25" customHeight="1">
      <c r="B881" s="1579" t="s">
        <v>4233</v>
      </c>
      <c r="C881" s="1535"/>
      <c r="D881" s="1535"/>
      <c r="E881" s="1535"/>
      <c r="F881" s="1535"/>
      <c r="G881" s="1584"/>
      <c r="H881" s="1535"/>
      <c r="I881" s="1535"/>
      <c r="J881" s="1535"/>
      <c r="K881" s="1535"/>
      <c r="L881" s="1535"/>
      <c r="M881" s="1535"/>
      <c r="N881" s="1535"/>
      <c r="O881" s="1535"/>
      <c r="P881" s="1535"/>
      <c r="U881" s="533" t="str">
        <f>B881</f>
        <v>NOT Included in Mgt Fee:</v>
      </c>
      <c r="GT881" s="615"/>
      <c r="GY881" s="615"/>
      <c r="GZ881" s="615"/>
      <c r="HA881" s="615"/>
      <c r="HB881" s="615"/>
      <c r="HC881" s="615"/>
      <c r="HD881" s="615"/>
      <c r="HE881" s="615"/>
      <c r="HF881" s="615"/>
      <c r="HG881" s="615"/>
      <c r="HH881" s="615"/>
      <c r="HI881" s="615"/>
      <c r="HJ881" s="615"/>
      <c r="HK881" s="615"/>
      <c r="HL881" s="615"/>
      <c r="HM881" s="615"/>
      <c r="HN881" s="615"/>
      <c r="HO881" s="615"/>
      <c r="HP881" s="615"/>
      <c r="HQ881" s="615"/>
      <c r="HR881" s="615"/>
      <c r="HS881" s="615"/>
      <c r="HT881" s="615"/>
      <c r="HU881" s="615"/>
      <c r="HV881" s="615"/>
      <c r="HW881" s="615"/>
      <c r="HX881" s="615"/>
      <c r="HY881" s="615"/>
      <c r="HZ881" s="615"/>
      <c r="IA881" s="615"/>
      <c r="IB881" s="615"/>
      <c r="IC881" s="615"/>
      <c r="ID881" s="615"/>
      <c r="IK881" s="29"/>
      <c r="JA881" s="29"/>
      <c r="JB881" s="29"/>
    </row>
    <row r="882" spans="2:262" ht="11.25" customHeight="1">
      <c r="B882" s="109" t="s">
        <v>552</v>
      </c>
      <c r="C882" s="109"/>
      <c r="D882" s="109"/>
      <c r="E882" s="109"/>
      <c r="F882" s="109"/>
      <c r="G882" s="1581">
        <f>'Part VI-Revenues &amp; Expenses'!G139</f>
        <v>0</v>
      </c>
      <c r="H882" s="1581">
        <f>'Part VI-Revenues &amp; Expenses'!H139</f>
        <v>0</v>
      </c>
      <c r="I882" s="1581">
        <f>'Part VI-Revenues &amp; Expenses'!I139</f>
        <v>0</v>
      </c>
      <c r="J882" s="1581">
        <f>'Part VI-Revenues &amp; Expenses'!J139</f>
        <v>0</v>
      </c>
      <c r="K882" s="1581">
        <f>'Part VI-Revenues &amp; Expenses'!K139</f>
        <v>0</v>
      </c>
      <c r="L882" s="1581">
        <f>'Part VI-Revenues &amp; Expenses'!L139</f>
        <v>0</v>
      </c>
      <c r="M882" s="1581">
        <f>'Part VI-Revenues &amp; Expenses'!M139</f>
        <v>0</v>
      </c>
      <c r="N882" s="1581">
        <f>'Part VI-Revenues &amp; Expenses'!N139</f>
        <v>0</v>
      </c>
      <c r="O882" s="1581">
        <f>'Part VI-Revenues &amp; Expenses'!O139</f>
        <v>0</v>
      </c>
      <c r="P882" s="1581">
        <f>'Part VI-Revenues &amp; Expenses'!P139</f>
        <v>0</v>
      </c>
      <c r="Q882" s="1582"/>
      <c r="U882" s="1477">
        <f>'Part VI-Revenues &amp; Expenses'!U139</f>
        <v>0</v>
      </c>
      <c r="V882" s="1477"/>
      <c r="GT882" s="615"/>
      <c r="GY882" s="615"/>
      <c r="GZ882" s="615"/>
      <c r="HA882" s="615"/>
      <c r="HB882" s="615"/>
      <c r="HC882" s="615"/>
      <c r="HD882" s="615"/>
      <c r="HE882" s="615"/>
      <c r="HF882" s="615"/>
      <c r="HG882" s="615"/>
      <c r="HH882" s="615"/>
      <c r="HI882" s="615"/>
      <c r="HJ882" s="615"/>
      <c r="HK882" s="615"/>
      <c r="HL882" s="615"/>
      <c r="HM882" s="615"/>
      <c r="HN882" s="615"/>
      <c r="HO882" s="615"/>
      <c r="HP882" s="615"/>
      <c r="HQ882" s="615"/>
      <c r="HR882" s="615"/>
      <c r="HS882" s="615"/>
      <c r="HT882" s="615"/>
      <c r="HU882" s="615"/>
      <c r="HV882" s="615"/>
      <c r="HW882" s="615"/>
      <c r="HX882" s="615"/>
      <c r="HY882" s="615"/>
      <c r="HZ882" s="615"/>
      <c r="IA882" s="615"/>
      <c r="IB882" s="615"/>
      <c r="IC882" s="615"/>
      <c r="ID882" s="615"/>
      <c r="IK882" s="29"/>
      <c r="JA882" s="29"/>
      <c r="JB882" s="29"/>
    </row>
    <row r="883" spans="2:262" ht="11.25" customHeight="1">
      <c r="B883" s="109" t="s">
        <v>771</v>
      </c>
      <c r="C883" s="109">
        <f>'Part VI-Revenues &amp; Expenses'!C140</f>
        <v>0</v>
      </c>
      <c r="D883" s="109"/>
      <c r="E883" s="109"/>
      <c r="F883" s="109"/>
      <c r="G883" s="1581">
        <f>'Part VI-Revenues &amp; Expenses'!G140</f>
        <v>0</v>
      </c>
      <c r="H883" s="1581">
        <f>'Part VI-Revenues &amp; Expenses'!H140</f>
        <v>0</v>
      </c>
      <c r="I883" s="1581">
        <f>'Part VI-Revenues &amp; Expenses'!I140</f>
        <v>0</v>
      </c>
      <c r="J883" s="1581">
        <f>'Part VI-Revenues &amp; Expenses'!J140</f>
        <v>0</v>
      </c>
      <c r="K883" s="1581">
        <f>'Part VI-Revenues &amp; Expenses'!K140</f>
        <v>0</v>
      </c>
      <c r="L883" s="1581">
        <f>'Part VI-Revenues &amp; Expenses'!L140</f>
        <v>0</v>
      </c>
      <c r="M883" s="1581">
        <f>'Part VI-Revenues &amp; Expenses'!M140</f>
        <v>0</v>
      </c>
      <c r="N883" s="1581">
        <f>'Part VI-Revenues &amp; Expenses'!N140</f>
        <v>0</v>
      </c>
      <c r="O883" s="1581">
        <f>'Part VI-Revenues &amp; Expenses'!O140</f>
        <v>0</v>
      </c>
      <c r="P883" s="1581">
        <f>'Part VI-Revenues &amp; Expenses'!P140</f>
        <v>0</v>
      </c>
      <c r="Q883" s="1582"/>
      <c r="U883" s="1477"/>
      <c r="V883" s="1477"/>
      <c r="GT883" s="615"/>
      <c r="GY883" s="615"/>
      <c r="GZ883" s="615"/>
      <c r="HA883" s="615"/>
      <c r="HB883" s="615"/>
      <c r="HC883" s="615"/>
      <c r="HD883" s="615"/>
      <c r="HE883" s="615"/>
      <c r="HF883" s="615"/>
      <c r="HG883" s="615"/>
      <c r="HH883" s="615"/>
      <c r="HI883" s="615"/>
      <c r="HJ883" s="615"/>
      <c r="HK883" s="615"/>
      <c r="HL883" s="615"/>
      <c r="HM883" s="615"/>
      <c r="HN883" s="615"/>
      <c r="HO883" s="615"/>
      <c r="HP883" s="615"/>
      <c r="HQ883" s="615"/>
      <c r="HR883" s="615"/>
      <c r="HS883" s="615"/>
      <c r="HT883" s="615"/>
      <c r="HU883" s="615"/>
      <c r="HV883" s="615"/>
      <c r="HW883" s="615"/>
      <c r="HX883" s="615"/>
      <c r="HY883" s="615"/>
      <c r="HZ883" s="615"/>
      <c r="IA883" s="615"/>
      <c r="IB883" s="615"/>
      <c r="IC883" s="615"/>
      <c r="ID883" s="615"/>
      <c r="IK883" s="29"/>
      <c r="JA883" s="29"/>
      <c r="JB883" s="29"/>
    </row>
    <row r="884" spans="2:262" ht="11.25" customHeight="1">
      <c r="B884" s="109"/>
      <c r="C884" s="109" t="s">
        <v>198</v>
      </c>
      <c r="D884" s="109"/>
      <c r="E884" s="109"/>
      <c r="F884" s="109"/>
      <c r="G884" s="1583">
        <f t="shared" ref="G884:P884" si="275">SUM(G882:G883)</f>
        <v>0</v>
      </c>
      <c r="H884" s="1583">
        <f t="shared" si="275"/>
        <v>0</v>
      </c>
      <c r="I884" s="1583">
        <f t="shared" si="275"/>
        <v>0</v>
      </c>
      <c r="J884" s="1583">
        <f t="shared" si="275"/>
        <v>0</v>
      </c>
      <c r="K884" s="1583">
        <f t="shared" si="275"/>
        <v>0</v>
      </c>
      <c r="L884" s="1583">
        <f t="shared" si="275"/>
        <v>0</v>
      </c>
      <c r="M884" s="1583">
        <f t="shared" si="275"/>
        <v>0</v>
      </c>
      <c r="N884" s="1583">
        <f t="shared" si="275"/>
        <v>0</v>
      </c>
      <c r="O884" s="1583">
        <f t="shared" si="275"/>
        <v>0</v>
      </c>
      <c r="P884" s="1583">
        <f t="shared" si="275"/>
        <v>0</v>
      </c>
      <c r="Q884" s="757"/>
      <c r="U884" s="1477"/>
      <c r="V884" s="1477"/>
      <c r="GT884" s="615"/>
      <c r="GY884" s="615"/>
      <c r="GZ884" s="615"/>
      <c r="HA884" s="615"/>
      <c r="HB884" s="615"/>
      <c r="HC884" s="615"/>
      <c r="HD884" s="615"/>
      <c r="HE884" s="615"/>
      <c r="HF884" s="615"/>
      <c r="HG884" s="615"/>
      <c r="HH884" s="615"/>
      <c r="HI884" s="615"/>
      <c r="HJ884" s="615"/>
      <c r="HK884" s="615"/>
      <c r="HL884" s="615"/>
      <c r="HM884" s="615"/>
      <c r="HN884" s="615"/>
      <c r="HO884" s="615"/>
      <c r="HP884" s="615"/>
      <c r="HQ884" s="615"/>
      <c r="HR884" s="615"/>
      <c r="HS884" s="615"/>
      <c r="HT884" s="615"/>
      <c r="HU884" s="615"/>
      <c r="HV884" s="615"/>
      <c r="HW884" s="615"/>
      <c r="HX884" s="615"/>
      <c r="HY884" s="615"/>
      <c r="HZ884" s="615"/>
      <c r="IA884" s="615"/>
      <c r="IB884" s="615"/>
      <c r="IC884" s="615"/>
      <c r="ID884" s="615"/>
      <c r="IK884" s="29"/>
      <c r="JA884" s="29"/>
      <c r="JB884" s="29"/>
    </row>
    <row r="885" spans="2:262" ht="3" customHeight="1">
      <c r="B885" s="1574"/>
      <c r="C885" s="1535"/>
      <c r="D885" s="1535"/>
      <c r="E885" s="1535"/>
      <c r="F885" s="1535"/>
      <c r="G885" s="1584"/>
      <c r="H885" s="1535"/>
      <c r="I885" s="1535"/>
      <c r="J885" s="1535"/>
      <c r="K885" s="1535"/>
      <c r="L885" s="1535"/>
      <c r="M885" s="1535"/>
      <c r="N885" s="1535"/>
      <c r="O885" s="1535"/>
      <c r="P885" s="1535"/>
      <c r="U885" s="1159" t="s">
        <v>2711</v>
      </c>
      <c r="GT885" s="615"/>
      <c r="GY885" s="615"/>
      <c r="GZ885" s="615"/>
      <c r="HA885" s="615"/>
      <c r="HB885" s="615"/>
      <c r="HC885" s="615"/>
      <c r="HD885" s="615"/>
      <c r="HE885" s="615"/>
      <c r="HF885" s="615"/>
      <c r="HG885" s="615"/>
      <c r="HH885" s="615"/>
      <c r="HI885" s="615"/>
      <c r="HJ885" s="615"/>
      <c r="HK885" s="615"/>
      <c r="HL885" s="615"/>
      <c r="HM885" s="615"/>
      <c r="HN885" s="615"/>
      <c r="HO885" s="615"/>
      <c r="HP885" s="615"/>
      <c r="HQ885" s="615"/>
      <c r="HR885" s="615"/>
      <c r="HS885" s="615"/>
      <c r="HT885" s="615"/>
      <c r="HU885" s="615"/>
      <c r="HV885" s="615"/>
      <c r="HW885" s="615"/>
      <c r="HX885" s="615"/>
      <c r="HY885" s="615"/>
      <c r="HZ885" s="615"/>
      <c r="IA885" s="615"/>
      <c r="IB885" s="615"/>
      <c r="IC885" s="615"/>
      <c r="ID885" s="615"/>
      <c r="IK885" s="29"/>
      <c r="JA885" s="29"/>
      <c r="JB885" s="29"/>
    </row>
    <row r="886" spans="2:262" ht="11.25" customHeight="1">
      <c r="B886" s="1579" t="s">
        <v>2366</v>
      </c>
      <c r="C886" s="1535"/>
      <c r="D886" s="1535"/>
      <c r="E886" s="1535"/>
      <c r="F886" s="1535"/>
      <c r="G886" s="1318">
        <v>21</v>
      </c>
      <c r="H886" s="1318">
        <v>22</v>
      </c>
      <c r="I886" s="1318">
        <v>23</v>
      </c>
      <c r="J886" s="1318">
        <v>24</v>
      </c>
      <c r="K886" s="1318">
        <v>25</v>
      </c>
      <c r="L886" s="1318">
        <v>26</v>
      </c>
      <c r="M886" s="1318">
        <v>27</v>
      </c>
      <c r="N886" s="1318">
        <v>28</v>
      </c>
      <c r="O886" s="1318">
        <v>29</v>
      </c>
      <c r="P886" s="1318">
        <v>30</v>
      </c>
      <c r="Q886" s="1580"/>
      <c r="U886" s="533" t="str">
        <f>B886</f>
        <v>Included in Mgt Fee:</v>
      </c>
      <c r="GT886" s="615"/>
      <c r="GY886" s="615"/>
      <c r="GZ886" s="615"/>
      <c r="HA886" s="615"/>
      <c r="HB886" s="615"/>
      <c r="HC886" s="615"/>
      <c r="HD886" s="615"/>
      <c r="HE886" s="615"/>
      <c r="HF886" s="615"/>
      <c r="HG886" s="615"/>
      <c r="HH886" s="615"/>
      <c r="HI886" s="615"/>
      <c r="HJ886" s="615"/>
      <c r="HK886" s="615"/>
      <c r="HL886" s="615"/>
      <c r="HM886" s="615"/>
      <c r="HN886" s="615"/>
      <c r="HO886" s="615"/>
      <c r="HP886" s="615"/>
      <c r="HQ886" s="615"/>
      <c r="HR886" s="615"/>
      <c r="HS886" s="615"/>
      <c r="HT886" s="615"/>
      <c r="HU886" s="615"/>
      <c r="HV886" s="615"/>
      <c r="HW886" s="615"/>
      <c r="HX886" s="615"/>
      <c r="HY886" s="615"/>
      <c r="HZ886" s="615"/>
      <c r="IA886" s="615"/>
      <c r="IB886" s="615"/>
      <c r="IC886" s="615"/>
      <c r="ID886" s="615"/>
      <c r="IK886" s="29"/>
      <c r="JA886" s="29"/>
      <c r="JB886" s="29"/>
    </row>
    <row r="887" spans="2:262" ht="11.25" customHeight="1">
      <c r="B887" s="109" t="s">
        <v>1054</v>
      </c>
      <c r="C887" s="109"/>
      <c r="D887" s="109"/>
      <c r="E887" s="109"/>
      <c r="F887" s="109"/>
      <c r="G887" s="1581">
        <f>'Part VI-Revenues &amp; Expenses'!G144</f>
        <v>0</v>
      </c>
      <c r="H887" s="1581">
        <f>'Part VI-Revenues &amp; Expenses'!H144</f>
        <v>0</v>
      </c>
      <c r="I887" s="1581">
        <f>'Part VI-Revenues &amp; Expenses'!I144</f>
        <v>0</v>
      </c>
      <c r="J887" s="1581">
        <f>'Part VI-Revenues &amp; Expenses'!J144</f>
        <v>0</v>
      </c>
      <c r="K887" s="1581">
        <f>'Part VI-Revenues &amp; Expenses'!K144</f>
        <v>0</v>
      </c>
      <c r="L887" s="1581">
        <f>'Part VI-Revenues &amp; Expenses'!L144</f>
        <v>0</v>
      </c>
      <c r="M887" s="1581">
        <f>'Part VI-Revenues &amp; Expenses'!M144</f>
        <v>0</v>
      </c>
      <c r="N887" s="1581">
        <f>'Part VI-Revenues &amp; Expenses'!N144</f>
        <v>0</v>
      </c>
      <c r="O887" s="1581">
        <f>'Part VI-Revenues &amp; Expenses'!O144</f>
        <v>0</v>
      </c>
      <c r="P887" s="1581">
        <f>'Part VI-Revenues &amp; Expenses'!P144</f>
        <v>0</v>
      </c>
      <c r="Q887" s="1582"/>
      <c r="U887" s="1477">
        <f>'Part VI-Revenues &amp; Expenses'!U144</f>
        <v>0</v>
      </c>
      <c r="V887" s="1477"/>
      <c r="GT887" s="615"/>
      <c r="GY887" s="615"/>
      <c r="GZ887" s="615"/>
      <c r="HA887" s="615"/>
      <c r="HB887" s="615"/>
      <c r="HC887" s="615"/>
      <c r="HD887" s="615"/>
      <c r="HE887" s="615"/>
      <c r="HF887" s="615"/>
      <c r="HG887" s="615"/>
      <c r="HH887" s="615"/>
      <c r="HI887" s="615"/>
      <c r="HJ887" s="615"/>
      <c r="HK887" s="615"/>
      <c r="HL887" s="615"/>
      <c r="HM887" s="615"/>
      <c r="HN887" s="615"/>
      <c r="HO887" s="615"/>
      <c r="HP887" s="615"/>
      <c r="HQ887" s="615"/>
      <c r="HR887" s="615"/>
      <c r="HS887" s="615"/>
      <c r="HT887" s="615"/>
      <c r="HU887" s="615"/>
      <c r="HV887" s="615"/>
      <c r="HW887" s="615"/>
      <c r="HX887" s="615"/>
      <c r="HY887" s="615"/>
      <c r="HZ887" s="615"/>
      <c r="IA887" s="615"/>
      <c r="IB887" s="615"/>
      <c r="IC887" s="615"/>
      <c r="ID887" s="615"/>
      <c r="IK887" s="29"/>
      <c r="JA887" s="29"/>
      <c r="JB887" s="29"/>
    </row>
    <row r="888" spans="2:262" ht="11.25" customHeight="1">
      <c r="B888" s="109" t="s">
        <v>771</v>
      </c>
      <c r="C888" s="109">
        <f>'Part VI-Revenues &amp; Expenses'!C145</f>
        <v>0</v>
      </c>
      <c r="D888" s="109"/>
      <c r="E888" s="109"/>
      <c r="F888" s="109"/>
      <c r="G888" s="1581">
        <f>'Part VI-Revenues &amp; Expenses'!G145</f>
        <v>0</v>
      </c>
      <c r="H888" s="1581">
        <f>'Part VI-Revenues &amp; Expenses'!H145</f>
        <v>0</v>
      </c>
      <c r="I888" s="1581">
        <f>'Part VI-Revenues &amp; Expenses'!I145</f>
        <v>0</v>
      </c>
      <c r="J888" s="1581">
        <f>'Part VI-Revenues &amp; Expenses'!J145</f>
        <v>0</v>
      </c>
      <c r="K888" s="1581">
        <f>'Part VI-Revenues &amp; Expenses'!K145</f>
        <v>0</v>
      </c>
      <c r="L888" s="1581">
        <f>'Part VI-Revenues &amp; Expenses'!L145</f>
        <v>0</v>
      </c>
      <c r="M888" s="1581">
        <f>'Part VI-Revenues &amp; Expenses'!M145</f>
        <v>0</v>
      </c>
      <c r="N888" s="1581">
        <f>'Part VI-Revenues &amp; Expenses'!N145</f>
        <v>0</v>
      </c>
      <c r="O888" s="1581">
        <f>'Part VI-Revenues &amp; Expenses'!O145</f>
        <v>0</v>
      </c>
      <c r="P888" s="1581">
        <f>'Part VI-Revenues &amp; Expenses'!P145</f>
        <v>0</v>
      </c>
      <c r="Q888" s="1582"/>
      <c r="U888" s="1477"/>
      <c r="V888" s="1477"/>
      <c r="GT888" s="615"/>
      <c r="GY888" s="615"/>
      <c r="GZ888" s="615"/>
      <c r="HA888" s="615"/>
      <c r="HB888" s="615"/>
      <c r="HC888" s="615"/>
      <c r="HD888" s="615"/>
      <c r="HE888" s="615"/>
      <c r="HF888" s="615"/>
      <c r="HG888" s="615"/>
      <c r="HH888" s="615"/>
      <c r="HI888" s="615"/>
      <c r="HJ888" s="615"/>
      <c r="HK888" s="615"/>
      <c r="HL888" s="615"/>
      <c r="HM888" s="615"/>
      <c r="HN888" s="615"/>
      <c r="HO888" s="615"/>
      <c r="HP888" s="615"/>
      <c r="HQ888" s="615"/>
      <c r="HR888" s="615"/>
      <c r="HS888" s="615"/>
      <c r="HT888" s="615"/>
      <c r="HU888" s="615"/>
      <c r="HV888" s="615"/>
      <c r="HW888" s="615"/>
      <c r="HX888" s="615"/>
      <c r="HY888" s="615"/>
      <c r="HZ888" s="615"/>
      <c r="IA888" s="615"/>
      <c r="IB888" s="615"/>
      <c r="IC888" s="615"/>
      <c r="ID888" s="615"/>
      <c r="IK888" s="29"/>
      <c r="JA888" s="29"/>
      <c r="JB888" s="29"/>
    </row>
    <row r="889" spans="2:262" ht="11.25" customHeight="1">
      <c r="B889" s="109"/>
      <c r="C889" s="109" t="s">
        <v>961</v>
      </c>
      <c r="D889" s="109"/>
      <c r="E889" s="109"/>
      <c r="F889" s="109"/>
      <c r="G889" s="1583">
        <f t="shared" ref="G889:P889" si="276">SUM(G887:G888)</f>
        <v>0</v>
      </c>
      <c r="H889" s="1583">
        <f t="shared" si="276"/>
        <v>0</v>
      </c>
      <c r="I889" s="1583">
        <f t="shared" si="276"/>
        <v>0</v>
      </c>
      <c r="J889" s="1583">
        <f t="shared" si="276"/>
        <v>0</v>
      </c>
      <c r="K889" s="1583">
        <f t="shared" si="276"/>
        <v>0</v>
      </c>
      <c r="L889" s="1583">
        <f t="shared" si="276"/>
        <v>0</v>
      </c>
      <c r="M889" s="1583">
        <f t="shared" si="276"/>
        <v>0</v>
      </c>
      <c r="N889" s="1583">
        <f t="shared" si="276"/>
        <v>0</v>
      </c>
      <c r="O889" s="1583">
        <f t="shared" si="276"/>
        <v>0</v>
      </c>
      <c r="P889" s="1583">
        <f t="shared" si="276"/>
        <v>0</v>
      </c>
      <c r="Q889" s="757"/>
      <c r="U889" s="1477"/>
      <c r="V889" s="1477"/>
      <c r="GT889" s="615"/>
      <c r="GY889" s="615"/>
      <c r="GZ889" s="615"/>
      <c r="HA889" s="615"/>
      <c r="HB889" s="615"/>
      <c r="HC889" s="615"/>
      <c r="HD889" s="615"/>
      <c r="HE889" s="615"/>
      <c r="HF889" s="615"/>
      <c r="HG889" s="615"/>
      <c r="HH889" s="615"/>
      <c r="HI889" s="615"/>
      <c r="HJ889" s="615"/>
      <c r="HK889" s="615"/>
      <c r="HL889" s="615"/>
      <c r="HM889" s="615"/>
      <c r="HN889" s="615"/>
      <c r="HO889" s="615"/>
      <c r="HP889" s="615"/>
      <c r="HQ889" s="615"/>
      <c r="HR889" s="615"/>
      <c r="HS889" s="615"/>
      <c r="HT889" s="615"/>
      <c r="HU889" s="615"/>
      <c r="HV889" s="615"/>
      <c r="HW889" s="615"/>
      <c r="HX889" s="615"/>
      <c r="HY889" s="615"/>
      <c r="HZ889" s="615"/>
      <c r="IA889" s="615"/>
      <c r="IB889" s="615"/>
      <c r="IC889" s="615"/>
      <c r="ID889" s="615"/>
      <c r="IK889" s="29"/>
      <c r="JA889" s="29"/>
      <c r="JB889" s="29"/>
    </row>
    <row r="890" spans="2:262" ht="11.25" customHeight="1">
      <c r="B890" s="1579" t="s">
        <v>4233</v>
      </c>
      <c r="C890" s="1535"/>
      <c r="D890" s="1535"/>
      <c r="E890" s="1535"/>
      <c r="F890" s="1535"/>
      <c r="G890" s="1584"/>
      <c r="H890" s="1535"/>
      <c r="I890" s="1535"/>
      <c r="J890" s="1535"/>
      <c r="K890" s="1535"/>
      <c r="L890" s="1535"/>
      <c r="M890" s="1535"/>
      <c r="N890" s="1535"/>
      <c r="O890" s="1535"/>
      <c r="P890" s="1535"/>
      <c r="U890" s="533" t="str">
        <f>B890</f>
        <v>NOT Included in Mgt Fee:</v>
      </c>
      <c r="GT890" s="615"/>
      <c r="GY890" s="615"/>
      <c r="GZ890" s="615"/>
      <c r="HA890" s="615"/>
      <c r="HB890" s="615"/>
      <c r="HC890" s="615"/>
      <c r="HD890" s="615"/>
      <c r="HE890" s="615"/>
      <c r="HF890" s="615"/>
      <c r="HG890" s="615"/>
      <c r="HH890" s="615"/>
      <c r="HI890" s="615"/>
      <c r="HJ890" s="615"/>
      <c r="HK890" s="615"/>
      <c r="HL890" s="615"/>
      <c r="HM890" s="615"/>
      <c r="HN890" s="615"/>
      <c r="HO890" s="615"/>
      <c r="HP890" s="615"/>
      <c r="HQ890" s="615"/>
      <c r="HR890" s="615"/>
      <c r="HS890" s="615"/>
      <c r="HT890" s="615"/>
      <c r="HU890" s="615"/>
      <c r="HV890" s="615"/>
      <c r="HW890" s="615"/>
      <c r="HX890" s="615"/>
      <c r="HY890" s="615"/>
      <c r="HZ890" s="615"/>
      <c r="IA890" s="615"/>
      <c r="IB890" s="615"/>
      <c r="IC890" s="615"/>
      <c r="ID890" s="615"/>
      <c r="IK890" s="29"/>
      <c r="JA890" s="29"/>
      <c r="JB890" s="29"/>
    </row>
    <row r="891" spans="2:262" ht="11.25" customHeight="1">
      <c r="B891" s="109" t="s">
        <v>552</v>
      </c>
      <c r="C891" s="109"/>
      <c r="D891" s="109"/>
      <c r="E891" s="109"/>
      <c r="F891" s="109"/>
      <c r="G891" s="1581">
        <f>'Part VI-Revenues &amp; Expenses'!G148</f>
        <v>0</v>
      </c>
      <c r="H891" s="1581">
        <f>'Part VI-Revenues &amp; Expenses'!H148</f>
        <v>0</v>
      </c>
      <c r="I891" s="1581">
        <f>'Part VI-Revenues &amp; Expenses'!I148</f>
        <v>0</v>
      </c>
      <c r="J891" s="1581">
        <f>'Part VI-Revenues &amp; Expenses'!J148</f>
        <v>0</v>
      </c>
      <c r="K891" s="1581">
        <f>'Part VI-Revenues &amp; Expenses'!K148</f>
        <v>0</v>
      </c>
      <c r="L891" s="1581">
        <f>'Part VI-Revenues &amp; Expenses'!L148</f>
        <v>0</v>
      </c>
      <c r="M891" s="1581">
        <f>'Part VI-Revenues &amp; Expenses'!M148</f>
        <v>0</v>
      </c>
      <c r="N891" s="1581">
        <f>'Part VI-Revenues &amp; Expenses'!N148</f>
        <v>0</v>
      </c>
      <c r="O891" s="1581">
        <f>'Part VI-Revenues &amp; Expenses'!O148</f>
        <v>0</v>
      </c>
      <c r="P891" s="1581">
        <f>'Part VI-Revenues &amp; Expenses'!P148</f>
        <v>0</v>
      </c>
      <c r="Q891" s="1582"/>
      <c r="U891" s="1477">
        <f>'Part VI-Revenues &amp; Expenses'!U148</f>
        <v>0</v>
      </c>
      <c r="V891" s="1477"/>
      <c r="GT891" s="615"/>
      <c r="GY891" s="615"/>
      <c r="GZ891" s="615"/>
      <c r="HA891" s="615"/>
      <c r="HB891" s="615"/>
      <c r="HC891" s="615"/>
      <c r="HD891" s="615"/>
      <c r="HE891" s="615"/>
      <c r="HF891" s="615"/>
      <c r="HG891" s="615"/>
      <c r="HH891" s="615"/>
      <c r="HI891" s="615"/>
      <c r="HJ891" s="615"/>
      <c r="HK891" s="615"/>
      <c r="HL891" s="615"/>
      <c r="HM891" s="615"/>
      <c r="HN891" s="615"/>
      <c r="HO891" s="615"/>
      <c r="HP891" s="615"/>
      <c r="HQ891" s="615"/>
      <c r="HR891" s="615"/>
      <c r="HS891" s="615"/>
      <c r="HT891" s="615"/>
      <c r="HU891" s="615"/>
      <c r="HV891" s="615"/>
      <c r="HW891" s="615"/>
      <c r="HX891" s="615"/>
      <c r="HY891" s="615"/>
      <c r="HZ891" s="615"/>
      <c r="IA891" s="615"/>
      <c r="IB891" s="615"/>
      <c r="IC891" s="615"/>
      <c r="ID891" s="615"/>
      <c r="IK891" s="29"/>
      <c r="JA891" s="29"/>
      <c r="JB891" s="29"/>
    </row>
    <row r="892" spans="2:262" ht="11.25" customHeight="1">
      <c r="B892" s="109" t="s">
        <v>771</v>
      </c>
      <c r="C892" s="109">
        <f>'Part VI-Revenues &amp; Expenses'!C149</f>
        <v>0</v>
      </c>
      <c r="D892" s="109"/>
      <c r="E892" s="109"/>
      <c r="F892" s="109"/>
      <c r="G892" s="1581">
        <f>'Part VI-Revenues &amp; Expenses'!G149</f>
        <v>0</v>
      </c>
      <c r="H892" s="1581">
        <f>'Part VI-Revenues &amp; Expenses'!H149</f>
        <v>0</v>
      </c>
      <c r="I892" s="1581">
        <f>'Part VI-Revenues &amp; Expenses'!I149</f>
        <v>0</v>
      </c>
      <c r="J892" s="1581">
        <f>'Part VI-Revenues &amp; Expenses'!J149</f>
        <v>0</v>
      </c>
      <c r="K892" s="1581">
        <f>'Part VI-Revenues &amp; Expenses'!K149</f>
        <v>0</v>
      </c>
      <c r="L892" s="1581">
        <f>'Part VI-Revenues &amp; Expenses'!L149</f>
        <v>0</v>
      </c>
      <c r="M892" s="1581">
        <f>'Part VI-Revenues &amp; Expenses'!M149</f>
        <v>0</v>
      </c>
      <c r="N892" s="1581">
        <f>'Part VI-Revenues &amp; Expenses'!N149</f>
        <v>0</v>
      </c>
      <c r="O892" s="1581">
        <f>'Part VI-Revenues &amp; Expenses'!O149</f>
        <v>0</v>
      </c>
      <c r="P892" s="1581">
        <f>'Part VI-Revenues &amp; Expenses'!P149</f>
        <v>0</v>
      </c>
      <c r="Q892" s="1582"/>
      <c r="U892" s="1477"/>
      <c r="V892" s="1477"/>
      <c r="GT892" s="615"/>
      <c r="GY892" s="615"/>
      <c r="GZ892" s="615"/>
      <c r="HA892" s="615"/>
      <c r="HB892" s="615"/>
      <c r="HC892" s="615"/>
      <c r="HD892" s="615"/>
      <c r="HE892" s="615"/>
      <c r="HF892" s="615"/>
      <c r="HG892" s="615"/>
      <c r="HH892" s="615"/>
      <c r="HI892" s="615"/>
      <c r="HJ892" s="615"/>
      <c r="HK892" s="615"/>
      <c r="HL892" s="615"/>
      <c r="HM892" s="615"/>
      <c r="HN892" s="615"/>
      <c r="HO892" s="615"/>
      <c r="HP892" s="615"/>
      <c r="HQ892" s="615"/>
      <c r="HR892" s="615"/>
      <c r="HS892" s="615"/>
      <c r="HT892" s="615"/>
      <c r="HU892" s="615"/>
      <c r="HV892" s="615"/>
      <c r="HW892" s="615"/>
      <c r="HX892" s="615"/>
      <c r="HY892" s="615"/>
      <c r="HZ892" s="615"/>
      <c r="IA892" s="615"/>
      <c r="IB892" s="615"/>
      <c r="IC892" s="615"/>
      <c r="ID892" s="615"/>
      <c r="IK892" s="29"/>
      <c r="JA892" s="29"/>
      <c r="JB892" s="29"/>
    </row>
    <row r="893" spans="2:262" ht="11.25" customHeight="1">
      <c r="B893" s="109"/>
      <c r="C893" s="109" t="s">
        <v>198</v>
      </c>
      <c r="D893" s="109"/>
      <c r="E893" s="109"/>
      <c r="F893" s="109"/>
      <c r="G893" s="1583">
        <f t="shared" ref="G893:P893" si="277">SUM(G891:G892)</f>
        <v>0</v>
      </c>
      <c r="H893" s="1583">
        <f t="shared" si="277"/>
        <v>0</v>
      </c>
      <c r="I893" s="1583">
        <f t="shared" si="277"/>
        <v>0</v>
      </c>
      <c r="J893" s="1583">
        <f t="shared" si="277"/>
        <v>0</v>
      </c>
      <c r="K893" s="1583">
        <f t="shared" si="277"/>
        <v>0</v>
      </c>
      <c r="L893" s="1583">
        <f t="shared" si="277"/>
        <v>0</v>
      </c>
      <c r="M893" s="1583">
        <f t="shared" si="277"/>
        <v>0</v>
      </c>
      <c r="N893" s="1583">
        <f t="shared" si="277"/>
        <v>0</v>
      </c>
      <c r="O893" s="1583">
        <f t="shared" si="277"/>
        <v>0</v>
      </c>
      <c r="P893" s="1583">
        <f t="shared" si="277"/>
        <v>0</v>
      </c>
      <c r="Q893" s="757"/>
      <c r="U893" s="1477"/>
      <c r="V893" s="1477"/>
      <c r="GT893" s="615"/>
      <c r="GY893" s="615"/>
      <c r="GZ893" s="615"/>
      <c r="HA893" s="615"/>
      <c r="HB893" s="615"/>
      <c r="HC893" s="615"/>
      <c r="HD893" s="615"/>
      <c r="HE893" s="615"/>
      <c r="HF893" s="615"/>
      <c r="HG893" s="615"/>
      <c r="HH893" s="615"/>
      <c r="HI893" s="615"/>
      <c r="HJ893" s="615"/>
      <c r="HK893" s="615"/>
      <c r="HL893" s="615"/>
      <c r="HM893" s="615"/>
      <c r="HN893" s="615"/>
      <c r="HO893" s="615"/>
      <c r="HP893" s="615"/>
      <c r="HQ893" s="615"/>
      <c r="HR893" s="615"/>
      <c r="HS893" s="615"/>
      <c r="HT893" s="615"/>
      <c r="HU893" s="615"/>
      <c r="HV893" s="615"/>
      <c r="HW893" s="615"/>
      <c r="HX893" s="615"/>
      <c r="HY893" s="615"/>
      <c r="HZ893" s="615"/>
      <c r="IA893" s="615"/>
      <c r="IB893" s="615"/>
      <c r="IC893" s="615"/>
      <c r="ID893" s="615"/>
      <c r="IK893" s="29"/>
      <c r="JA893" s="29"/>
      <c r="JB893" s="29"/>
    </row>
    <row r="894" spans="2:262" ht="3" customHeight="1">
      <c r="B894" s="1574"/>
      <c r="C894" s="1535"/>
      <c r="D894" s="1535"/>
      <c r="E894" s="1535"/>
      <c r="F894" s="1535"/>
      <c r="G894" s="1584"/>
      <c r="H894" s="1535"/>
      <c r="I894" s="1535"/>
      <c r="J894" s="1535"/>
      <c r="K894" s="1535"/>
      <c r="L894" s="1535"/>
      <c r="M894" s="1535"/>
      <c r="N894" s="1535"/>
      <c r="O894" s="1535"/>
      <c r="P894" s="1535"/>
      <c r="U894" s="1159" t="s">
        <v>2711</v>
      </c>
      <c r="GT894" s="615"/>
      <c r="GY894" s="615"/>
      <c r="GZ894" s="615"/>
      <c r="HA894" s="615"/>
      <c r="HB894" s="615"/>
      <c r="HC894" s="615"/>
      <c r="HD894" s="615"/>
      <c r="HE894" s="615"/>
      <c r="HF894" s="615"/>
      <c r="HG894" s="615"/>
      <c r="HH894" s="615"/>
      <c r="HI894" s="615"/>
      <c r="HJ894" s="615"/>
      <c r="HK894" s="615"/>
      <c r="HL894" s="615"/>
      <c r="HM894" s="615"/>
      <c r="HN894" s="615"/>
      <c r="HO894" s="615"/>
      <c r="HP894" s="615"/>
      <c r="HQ894" s="615"/>
      <c r="HR894" s="615"/>
      <c r="HS894" s="615"/>
      <c r="HT894" s="615"/>
      <c r="HU894" s="615"/>
      <c r="HV894" s="615"/>
      <c r="HW894" s="615"/>
      <c r="HX894" s="615"/>
      <c r="HY894" s="615"/>
      <c r="HZ894" s="615"/>
      <c r="IA894" s="615"/>
      <c r="IB894" s="615"/>
      <c r="IC894" s="615"/>
      <c r="ID894" s="615"/>
      <c r="IK894" s="29"/>
      <c r="JA894" s="29"/>
      <c r="JB894" s="29"/>
    </row>
    <row r="895" spans="2:262" ht="11.25" customHeight="1">
      <c r="B895" s="1579" t="s">
        <v>2366</v>
      </c>
      <c r="C895" s="1535"/>
      <c r="D895" s="1535"/>
      <c r="E895" s="1535"/>
      <c r="F895" s="1535"/>
      <c r="G895" s="1318">
        <v>31</v>
      </c>
      <c r="H895" s="1318">
        <v>32</v>
      </c>
      <c r="I895" s="1318">
        <v>33</v>
      </c>
      <c r="J895" s="1318">
        <v>34</v>
      </c>
      <c r="K895" s="1318">
        <v>35</v>
      </c>
      <c r="L895" s="1535"/>
      <c r="M895" s="1535"/>
      <c r="N895" s="1535"/>
      <c r="O895" s="1535"/>
      <c r="P895" s="1535"/>
      <c r="U895" s="533" t="str">
        <f>B895</f>
        <v>Included in Mgt Fee:</v>
      </c>
      <c r="GT895" s="615"/>
      <c r="GY895" s="615"/>
      <c r="GZ895" s="615"/>
      <c r="HA895" s="615"/>
      <c r="HB895" s="615"/>
      <c r="HC895" s="615"/>
      <c r="HD895" s="615"/>
      <c r="HE895" s="615"/>
      <c r="HF895" s="615"/>
      <c r="HG895" s="615"/>
      <c r="HH895" s="615"/>
      <c r="HI895" s="615"/>
      <c r="HJ895" s="615"/>
      <c r="HK895" s="615"/>
      <c r="HL895" s="615"/>
      <c r="HM895" s="615"/>
      <c r="HN895" s="615"/>
      <c r="HO895" s="615"/>
      <c r="HP895" s="615"/>
      <c r="HQ895" s="615"/>
      <c r="HR895" s="615"/>
      <c r="HS895" s="615"/>
      <c r="HT895" s="615"/>
      <c r="HU895" s="615"/>
      <c r="HV895" s="615"/>
      <c r="HW895" s="615"/>
      <c r="HX895" s="615"/>
      <c r="HY895" s="615"/>
      <c r="HZ895" s="615"/>
      <c r="IA895" s="615"/>
      <c r="IB895" s="615"/>
      <c r="IC895" s="615"/>
      <c r="ID895" s="615"/>
      <c r="IK895" s="29"/>
      <c r="JA895" s="29"/>
      <c r="JB895" s="29"/>
    </row>
    <row r="896" spans="2:262" ht="11.25" customHeight="1">
      <c r="B896" s="109" t="s">
        <v>1054</v>
      </c>
      <c r="C896" s="109"/>
      <c r="D896" s="109"/>
      <c r="E896" s="109"/>
      <c r="F896" s="109"/>
      <c r="G896" s="1581">
        <f>'Part VI-Revenues &amp; Expenses'!G153</f>
        <v>0</v>
      </c>
      <c r="H896" s="1581">
        <f>'Part VI-Revenues &amp; Expenses'!H153</f>
        <v>0</v>
      </c>
      <c r="I896" s="1581">
        <f>'Part VI-Revenues &amp; Expenses'!I153</f>
        <v>0</v>
      </c>
      <c r="J896" s="1581">
        <f>'Part VI-Revenues &amp; Expenses'!J153</f>
        <v>0</v>
      </c>
      <c r="K896" s="1581">
        <f>'Part VI-Revenues &amp; Expenses'!K153</f>
        <v>0</v>
      </c>
      <c r="L896" s="1535"/>
      <c r="M896" s="1535"/>
      <c r="N896" s="1535"/>
      <c r="O896" s="1535"/>
      <c r="P896" s="1535"/>
      <c r="U896" s="1477">
        <f>'Part VI-Revenues &amp; Expenses'!U153</f>
        <v>0</v>
      </c>
      <c r="V896" s="1477"/>
      <c r="GT896" s="615"/>
      <c r="GY896" s="615"/>
      <c r="GZ896" s="615"/>
      <c r="HA896" s="615"/>
      <c r="HB896" s="615"/>
      <c r="HC896" s="615"/>
      <c r="HD896" s="615"/>
      <c r="HE896" s="615"/>
      <c r="HF896" s="615"/>
      <c r="HG896" s="615"/>
      <c r="HH896" s="615"/>
      <c r="HI896" s="615"/>
      <c r="HJ896" s="615"/>
      <c r="HK896" s="615"/>
      <c r="HL896" s="615"/>
      <c r="HM896" s="615"/>
      <c r="HN896" s="615"/>
      <c r="HO896" s="615"/>
      <c r="HP896" s="615"/>
      <c r="HQ896" s="615"/>
      <c r="HR896" s="615"/>
      <c r="HS896" s="615"/>
      <c r="HT896" s="615"/>
      <c r="HU896" s="615"/>
      <c r="HV896" s="615"/>
      <c r="HW896" s="615"/>
      <c r="HX896" s="615"/>
      <c r="HY896" s="615"/>
      <c r="HZ896" s="615"/>
      <c r="IA896" s="615"/>
      <c r="IB896" s="615"/>
      <c r="IC896" s="615"/>
      <c r="ID896" s="615"/>
      <c r="IK896" s="29"/>
      <c r="JA896" s="29"/>
      <c r="JB896" s="29"/>
    </row>
    <row r="897" spans="1:262" ht="11.25" customHeight="1">
      <c r="B897" s="109" t="s">
        <v>771</v>
      </c>
      <c r="C897" s="109">
        <f>'Part VI-Revenues &amp; Expenses'!C154</f>
        <v>0</v>
      </c>
      <c r="D897" s="109"/>
      <c r="E897" s="109"/>
      <c r="F897" s="109"/>
      <c r="G897" s="1581">
        <f>'Part VI-Revenues &amp; Expenses'!G154</f>
        <v>0</v>
      </c>
      <c r="H897" s="1581">
        <f>'Part VI-Revenues &amp; Expenses'!H154</f>
        <v>0</v>
      </c>
      <c r="I897" s="1581">
        <f>'Part VI-Revenues &amp; Expenses'!I154</f>
        <v>0</v>
      </c>
      <c r="J897" s="1581">
        <f>'Part VI-Revenues &amp; Expenses'!J154</f>
        <v>0</v>
      </c>
      <c r="K897" s="1581">
        <f>'Part VI-Revenues &amp; Expenses'!K154</f>
        <v>0</v>
      </c>
      <c r="L897" s="1535"/>
      <c r="M897" s="1535"/>
      <c r="N897" s="1535"/>
      <c r="O897" s="1535"/>
      <c r="P897" s="1535"/>
      <c r="U897" s="1477"/>
      <c r="V897" s="1477"/>
      <c r="GT897" s="615"/>
      <c r="GY897" s="615"/>
      <c r="GZ897" s="615"/>
      <c r="HA897" s="615"/>
      <c r="HB897" s="615"/>
      <c r="HC897" s="615"/>
      <c r="HD897" s="615"/>
      <c r="HE897" s="615"/>
      <c r="HF897" s="615"/>
      <c r="HG897" s="615"/>
      <c r="HH897" s="615"/>
      <c r="HI897" s="615"/>
      <c r="HJ897" s="615"/>
      <c r="HK897" s="615"/>
      <c r="HL897" s="615"/>
      <c r="HM897" s="615"/>
      <c r="HN897" s="615"/>
      <c r="HO897" s="615"/>
      <c r="HP897" s="615"/>
      <c r="HQ897" s="615"/>
      <c r="HR897" s="615"/>
      <c r="HS897" s="615"/>
      <c r="HT897" s="615"/>
      <c r="HU897" s="615"/>
      <c r="HV897" s="615"/>
      <c r="HW897" s="615"/>
      <c r="HX897" s="615"/>
      <c r="HY897" s="615"/>
      <c r="HZ897" s="615"/>
      <c r="IA897" s="615"/>
      <c r="IB897" s="615"/>
      <c r="IC897" s="615"/>
      <c r="ID897" s="615"/>
      <c r="IK897" s="29"/>
      <c r="JA897" s="29"/>
      <c r="JB897" s="29"/>
    </row>
    <row r="898" spans="1:262" ht="11.25" customHeight="1">
      <c r="B898" s="109"/>
      <c r="C898" s="109" t="s">
        <v>961</v>
      </c>
      <c r="D898" s="109"/>
      <c r="E898" s="109"/>
      <c r="F898" s="109"/>
      <c r="G898" s="1583">
        <f>SUM(G896:G897)</f>
        <v>0</v>
      </c>
      <c r="H898" s="1583">
        <f>SUM(H896:H897)</f>
        <v>0</v>
      </c>
      <c r="I898" s="1583">
        <f>SUM(I896:I897)</f>
        <v>0</v>
      </c>
      <c r="J898" s="1583">
        <f>SUM(J896:J897)</f>
        <v>0</v>
      </c>
      <c r="K898" s="1583">
        <f>SUM(K896:K897)</f>
        <v>0</v>
      </c>
      <c r="L898" s="1535"/>
      <c r="M898" s="1535"/>
      <c r="N898" s="1535"/>
      <c r="O898" s="1535"/>
      <c r="P898" s="1535"/>
      <c r="U898" s="1477"/>
      <c r="V898" s="1477"/>
      <c r="GT898" s="615"/>
      <c r="GY898" s="615"/>
      <c r="GZ898" s="615"/>
      <c r="HA898" s="615"/>
      <c r="HB898" s="615"/>
      <c r="HC898" s="615"/>
      <c r="HD898" s="615"/>
      <c r="HE898" s="615"/>
      <c r="HF898" s="615"/>
      <c r="HG898" s="615"/>
      <c r="HH898" s="615"/>
      <c r="HI898" s="615"/>
      <c r="HJ898" s="615"/>
      <c r="HK898" s="615"/>
      <c r="HL898" s="615"/>
      <c r="HM898" s="615"/>
      <c r="HN898" s="615"/>
      <c r="HO898" s="615"/>
      <c r="HP898" s="615"/>
      <c r="HQ898" s="615"/>
      <c r="HR898" s="615"/>
      <c r="HS898" s="615"/>
      <c r="HT898" s="615"/>
      <c r="HU898" s="615"/>
      <c r="HV898" s="615"/>
      <c r="HW898" s="615"/>
      <c r="HX898" s="615"/>
      <c r="HY898" s="615"/>
      <c r="HZ898" s="615"/>
      <c r="IA898" s="615"/>
      <c r="IB898" s="615"/>
      <c r="IC898" s="615"/>
      <c r="ID898" s="615"/>
      <c r="IK898" s="29"/>
      <c r="JA898" s="29"/>
      <c r="JB898" s="29"/>
    </row>
    <row r="899" spans="1:262" ht="11.25" customHeight="1">
      <c r="B899" s="1579" t="s">
        <v>4233</v>
      </c>
      <c r="C899" s="1535"/>
      <c r="D899" s="1535"/>
      <c r="E899" s="1535"/>
      <c r="F899" s="1535"/>
      <c r="G899" s="1584"/>
      <c r="H899" s="1535"/>
      <c r="I899" s="1535"/>
      <c r="J899" s="1535"/>
      <c r="K899" s="1535"/>
      <c r="L899" s="1535"/>
      <c r="M899" s="1535"/>
      <c r="N899" s="1535"/>
      <c r="O899" s="1535"/>
      <c r="P899" s="1535"/>
      <c r="U899" s="533" t="str">
        <f>B899</f>
        <v>NOT Included in Mgt Fee:</v>
      </c>
      <c r="GT899" s="615"/>
      <c r="GY899" s="615"/>
      <c r="GZ899" s="615"/>
      <c r="HA899" s="615"/>
      <c r="HB899" s="615"/>
      <c r="HC899" s="615"/>
      <c r="HD899" s="615"/>
      <c r="HE899" s="615"/>
      <c r="HF899" s="615"/>
      <c r="HG899" s="615"/>
      <c r="HH899" s="615"/>
      <c r="HI899" s="615"/>
      <c r="HJ899" s="615"/>
      <c r="HK899" s="615"/>
      <c r="HL899" s="615"/>
      <c r="HM899" s="615"/>
      <c r="HN899" s="615"/>
      <c r="HO899" s="615"/>
      <c r="HP899" s="615"/>
      <c r="HQ899" s="615"/>
      <c r="HR899" s="615"/>
      <c r="HS899" s="615"/>
      <c r="HT899" s="615"/>
      <c r="HU899" s="615"/>
      <c r="HV899" s="615"/>
      <c r="HW899" s="615"/>
      <c r="HX899" s="615"/>
      <c r="HY899" s="615"/>
      <c r="HZ899" s="615"/>
      <c r="IA899" s="615"/>
      <c r="IB899" s="615"/>
      <c r="IC899" s="615"/>
      <c r="ID899" s="615"/>
      <c r="IK899" s="29"/>
      <c r="JA899" s="29"/>
      <c r="JB899" s="29"/>
    </row>
    <row r="900" spans="1:262" ht="11.25" customHeight="1">
      <c r="B900" s="109" t="s">
        <v>552</v>
      </c>
      <c r="C900" s="109"/>
      <c r="D900" s="109"/>
      <c r="E900" s="109"/>
      <c r="F900" s="109"/>
      <c r="G900" s="1581">
        <f>'Part VI-Revenues &amp; Expenses'!G157</f>
        <v>0</v>
      </c>
      <c r="H900" s="1581">
        <f>'Part VI-Revenues &amp; Expenses'!H157</f>
        <v>0</v>
      </c>
      <c r="I900" s="1581">
        <f>'Part VI-Revenues &amp; Expenses'!I157</f>
        <v>0</v>
      </c>
      <c r="J900" s="1581">
        <f>'Part VI-Revenues &amp; Expenses'!J157</f>
        <v>0</v>
      </c>
      <c r="K900" s="1581">
        <f>'Part VI-Revenues &amp; Expenses'!K157</f>
        <v>0</v>
      </c>
      <c r="L900" s="1535"/>
      <c r="M900" s="1535"/>
      <c r="N900" s="1535"/>
      <c r="O900" s="1535"/>
      <c r="P900" s="1535"/>
      <c r="U900" s="1477">
        <f>'Part VI-Revenues &amp; Expenses'!U157</f>
        <v>0</v>
      </c>
      <c r="V900" s="1477"/>
      <c r="GT900" s="615"/>
      <c r="GY900" s="615"/>
      <c r="GZ900" s="615"/>
      <c r="HA900" s="615"/>
      <c r="HB900" s="615"/>
      <c r="HC900" s="615"/>
      <c r="HD900" s="615"/>
      <c r="HE900" s="615"/>
      <c r="HF900" s="615"/>
      <c r="HG900" s="615"/>
      <c r="HH900" s="615"/>
      <c r="HI900" s="615"/>
      <c r="HJ900" s="615"/>
      <c r="HK900" s="615"/>
      <c r="HL900" s="615"/>
      <c r="HM900" s="615"/>
      <c r="HN900" s="615"/>
      <c r="HO900" s="615"/>
      <c r="HP900" s="615"/>
      <c r="HQ900" s="615"/>
      <c r="HR900" s="615"/>
      <c r="HS900" s="615"/>
      <c r="HT900" s="615"/>
      <c r="HU900" s="615"/>
      <c r="HV900" s="615"/>
      <c r="HW900" s="615"/>
      <c r="HX900" s="615"/>
      <c r="HY900" s="615"/>
      <c r="HZ900" s="615"/>
      <c r="IA900" s="615"/>
      <c r="IB900" s="615"/>
      <c r="IC900" s="615"/>
      <c r="ID900" s="615"/>
      <c r="IK900" s="29"/>
      <c r="JA900" s="29"/>
      <c r="JB900" s="29"/>
    </row>
    <row r="901" spans="1:262" ht="11.25" customHeight="1">
      <c r="B901" s="109" t="s">
        <v>771</v>
      </c>
      <c r="C901" s="109">
        <f>'Part VI-Revenues &amp; Expenses'!C158</f>
        <v>0</v>
      </c>
      <c r="D901" s="109"/>
      <c r="E901" s="109"/>
      <c r="F901" s="109"/>
      <c r="G901" s="1581">
        <f>'Part VI-Revenues &amp; Expenses'!G158</f>
        <v>0</v>
      </c>
      <c r="H901" s="1581">
        <f>'Part VI-Revenues &amp; Expenses'!H158</f>
        <v>0</v>
      </c>
      <c r="I901" s="1581">
        <f>'Part VI-Revenues &amp; Expenses'!I158</f>
        <v>0</v>
      </c>
      <c r="J901" s="1581">
        <f>'Part VI-Revenues &amp; Expenses'!J158</f>
        <v>0</v>
      </c>
      <c r="K901" s="1581">
        <f>'Part VI-Revenues &amp; Expenses'!K158</f>
        <v>0</v>
      </c>
      <c r="L901" s="1535"/>
      <c r="M901" s="1535"/>
      <c r="N901" s="1535"/>
      <c r="O901" s="1535"/>
      <c r="P901" s="1535"/>
      <c r="U901" s="1477"/>
      <c r="V901" s="1477"/>
      <c r="GT901" s="615"/>
      <c r="GY901" s="615"/>
      <c r="GZ901" s="615"/>
      <c r="HA901" s="615"/>
      <c r="HB901" s="615"/>
      <c r="HC901" s="615"/>
      <c r="HD901" s="615"/>
      <c r="HE901" s="615"/>
      <c r="HF901" s="615"/>
      <c r="HG901" s="615"/>
      <c r="HH901" s="615"/>
      <c r="HI901" s="615"/>
      <c r="HJ901" s="615"/>
      <c r="HK901" s="615"/>
      <c r="HL901" s="615"/>
      <c r="HM901" s="615"/>
      <c r="HN901" s="615"/>
      <c r="HO901" s="615"/>
      <c r="HP901" s="615"/>
      <c r="HQ901" s="615"/>
      <c r="HR901" s="615"/>
      <c r="HS901" s="615"/>
      <c r="HT901" s="615"/>
      <c r="HU901" s="615"/>
      <c r="HV901" s="615"/>
      <c r="HW901" s="615"/>
      <c r="HX901" s="615"/>
      <c r="HY901" s="615"/>
      <c r="HZ901" s="615"/>
      <c r="IA901" s="615"/>
      <c r="IB901" s="615"/>
      <c r="IC901" s="615"/>
      <c r="ID901" s="615"/>
      <c r="IK901" s="29"/>
      <c r="JA901" s="29"/>
      <c r="JB901" s="29"/>
    </row>
    <row r="902" spans="1:262" ht="11.25" customHeight="1">
      <c r="B902" s="109"/>
      <c r="C902" s="109" t="s">
        <v>198</v>
      </c>
      <c r="D902" s="109"/>
      <c r="E902" s="109"/>
      <c r="F902" s="109"/>
      <c r="G902" s="1583">
        <f>SUM(G900:G901)</f>
        <v>0</v>
      </c>
      <c r="H902" s="1583">
        <f>SUM(H900:H901)</f>
        <v>0</v>
      </c>
      <c r="I902" s="1583">
        <f>SUM(I900:I901)</f>
        <v>0</v>
      </c>
      <c r="J902" s="1583">
        <f>SUM(J900:J901)</f>
        <v>0</v>
      </c>
      <c r="K902" s="1583">
        <f>SUM(K900:K901)</f>
        <v>0</v>
      </c>
      <c r="L902" s="1535"/>
      <c r="M902" s="1535"/>
      <c r="N902" s="1535"/>
      <c r="O902" s="1535"/>
      <c r="P902" s="1535"/>
      <c r="U902" s="1477"/>
      <c r="V902" s="1477"/>
      <c r="GT902" s="615"/>
      <c r="GY902" s="615"/>
      <c r="GZ902" s="615"/>
      <c r="HA902" s="615"/>
      <c r="HB902" s="615"/>
      <c r="HC902" s="615"/>
      <c r="HD902" s="615"/>
      <c r="HE902" s="615"/>
      <c r="HF902" s="615"/>
      <c r="HG902" s="615"/>
      <c r="HH902" s="615"/>
      <c r="HI902" s="615"/>
      <c r="HJ902" s="615"/>
      <c r="HK902" s="615"/>
      <c r="HL902" s="615"/>
      <c r="HM902" s="615"/>
      <c r="HN902" s="615"/>
      <c r="HO902" s="615"/>
      <c r="HP902" s="615"/>
      <c r="HQ902" s="615"/>
      <c r="HR902" s="615"/>
      <c r="HS902" s="615"/>
      <c r="HT902" s="615"/>
      <c r="HU902" s="615"/>
      <c r="HV902" s="615"/>
      <c r="HW902" s="615"/>
      <c r="HX902" s="615"/>
      <c r="HY902" s="615"/>
      <c r="HZ902" s="615"/>
      <c r="IA902" s="615"/>
      <c r="IB902" s="615"/>
      <c r="IC902" s="615"/>
      <c r="ID902" s="615"/>
      <c r="IK902" s="29"/>
      <c r="JA902" s="29"/>
      <c r="JB902" s="29"/>
    </row>
    <row r="903" spans="1:262" ht="2.25" customHeight="1">
      <c r="B903" s="29"/>
      <c r="F903" s="1585"/>
      <c r="G903" s="1585"/>
      <c r="GT903" s="615"/>
      <c r="GY903" s="615"/>
      <c r="GZ903" s="615"/>
      <c r="HA903" s="615"/>
      <c r="HB903" s="615"/>
      <c r="HC903" s="615"/>
      <c r="HD903" s="615"/>
      <c r="HE903" s="615"/>
      <c r="HF903" s="615"/>
      <c r="HG903" s="615"/>
      <c r="HH903" s="615"/>
      <c r="HI903" s="615"/>
      <c r="HJ903" s="615"/>
      <c r="HK903" s="615"/>
      <c r="HL903" s="615"/>
      <c r="HM903" s="615"/>
      <c r="HN903" s="615"/>
      <c r="HO903" s="615"/>
      <c r="HP903" s="615"/>
      <c r="HQ903" s="615"/>
      <c r="HR903" s="615"/>
      <c r="HS903" s="615"/>
      <c r="HT903" s="615"/>
      <c r="HU903" s="615"/>
      <c r="HV903" s="615"/>
      <c r="HW903" s="615"/>
      <c r="HX903" s="615"/>
      <c r="HY903" s="615"/>
      <c r="HZ903" s="615"/>
      <c r="IA903" s="615"/>
      <c r="IB903" s="615"/>
      <c r="IC903" s="615"/>
      <c r="ID903" s="615"/>
      <c r="IK903" s="29"/>
      <c r="JA903" s="29"/>
      <c r="JB903" s="29"/>
    </row>
    <row r="904" spans="1:262" s="533" customFormat="1" ht="11.25" customHeight="1">
      <c r="A904" s="10" t="s">
        <v>1858</v>
      </c>
      <c r="B904" s="2" t="s">
        <v>1056</v>
      </c>
      <c r="C904" s="2"/>
      <c r="D904" s="2"/>
      <c r="E904" s="2"/>
      <c r="F904" s="2"/>
      <c r="G904" s="2"/>
      <c r="H904" s="2"/>
      <c r="I904" s="2"/>
      <c r="J904" s="2"/>
      <c r="K904" s="2"/>
      <c r="M904" s="1557"/>
      <c r="N904" s="484"/>
      <c r="O904" s="484"/>
      <c r="U904" s="10" t="str">
        <f>B904</f>
        <v>ANNUAL OPERATING EXPENSE BUDGET</v>
      </c>
      <c r="V904" s="531"/>
      <c r="W904" s="531"/>
      <c r="X904" s="531"/>
      <c r="Y904" s="531"/>
      <c r="GT904" s="484"/>
      <c r="GY904" s="484"/>
      <c r="GZ904" s="484"/>
      <c r="HA904" s="484"/>
      <c r="HB904" s="484"/>
      <c r="HC904" s="484"/>
      <c r="HD904" s="484"/>
      <c r="HE904" s="484"/>
      <c r="HF904" s="484"/>
      <c r="HG904" s="484"/>
      <c r="HH904" s="484"/>
      <c r="HI904" s="484"/>
      <c r="HJ904" s="484"/>
      <c r="HK904" s="484"/>
      <c r="HL904" s="484"/>
      <c r="HM904" s="484"/>
      <c r="HN904" s="484"/>
      <c r="HO904" s="484"/>
      <c r="HP904" s="484"/>
      <c r="HQ904" s="484"/>
      <c r="HR904" s="484"/>
      <c r="HS904" s="484"/>
      <c r="HT904" s="484"/>
      <c r="HU904" s="484"/>
      <c r="HV904" s="484"/>
      <c r="HW904" s="484"/>
      <c r="HX904" s="484"/>
      <c r="HY904" s="484"/>
      <c r="HZ904" s="484"/>
      <c r="IA904" s="484"/>
      <c r="IB904" s="484"/>
      <c r="IC904" s="484"/>
      <c r="ID904" s="484"/>
      <c r="IK904" s="10"/>
      <c r="JA904" s="10"/>
      <c r="JB904" s="10"/>
    </row>
    <row r="905" spans="1:262" s="533" customFormat="1" ht="9" customHeight="1">
      <c r="B905" s="2"/>
      <c r="C905" s="2"/>
      <c r="D905" s="2"/>
      <c r="E905" s="2"/>
      <c r="F905" s="2"/>
      <c r="G905" s="2"/>
      <c r="H905" s="2"/>
      <c r="I905" s="2"/>
      <c r="J905" s="2"/>
      <c r="U905" s="93" t="s">
        <v>1915</v>
      </c>
      <c r="V905" s="93"/>
      <c r="GT905" s="484"/>
      <c r="GY905" s="484"/>
      <c r="GZ905" s="484"/>
      <c r="HA905" s="484"/>
      <c r="HB905" s="484"/>
      <c r="HC905" s="484"/>
      <c r="HD905" s="484"/>
      <c r="HE905" s="484"/>
      <c r="HF905" s="484"/>
      <c r="HG905" s="484"/>
      <c r="HH905" s="484"/>
      <c r="HI905" s="484"/>
      <c r="HJ905" s="484"/>
      <c r="HK905" s="484"/>
      <c r="HL905" s="484"/>
      <c r="HM905" s="484"/>
      <c r="HN905" s="484"/>
      <c r="HO905" s="484"/>
      <c r="HP905" s="484"/>
      <c r="HQ905" s="484"/>
      <c r="HR905" s="484"/>
      <c r="HS905" s="484"/>
      <c r="HT905" s="484"/>
      <c r="HU905" s="484"/>
      <c r="HV905" s="484"/>
      <c r="HW905" s="484"/>
      <c r="HX905" s="484"/>
      <c r="HY905" s="484"/>
      <c r="HZ905" s="484"/>
      <c r="IA905" s="484"/>
      <c r="IB905" s="484"/>
      <c r="IC905" s="484"/>
      <c r="ID905" s="484"/>
      <c r="IK905" s="10"/>
      <c r="JA905" s="10"/>
      <c r="JB905" s="10"/>
    </row>
    <row r="906" spans="1:262" s="533" customFormat="1" ht="13.15" customHeight="1">
      <c r="B906" s="10" t="s">
        <v>1339</v>
      </c>
      <c r="F906" s="531"/>
      <c r="G906" s="531"/>
      <c r="I906" s="10" t="s">
        <v>1427</v>
      </c>
      <c r="N906" s="10" t="s">
        <v>1426</v>
      </c>
      <c r="U906" s="1477">
        <f>'Part VI-Revenues &amp; Expenses'!U163</f>
        <v>0</v>
      </c>
      <c r="V906" s="1477"/>
      <c r="W906" s="531"/>
      <c r="X906" s="531"/>
      <c r="Y906" s="531"/>
      <c r="GT906" s="484"/>
      <c r="GY906" s="484"/>
      <c r="GZ906" s="484"/>
      <c r="HA906" s="484"/>
      <c r="HB906" s="484"/>
      <c r="HC906" s="484"/>
      <c r="HD906" s="484"/>
      <c r="HE906" s="484"/>
      <c r="HF906" s="484"/>
      <c r="HG906" s="484"/>
      <c r="HH906" s="484"/>
      <c r="HI906" s="484"/>
      <c r="HJ906" s="484"/>
      <c r="HK906" s="484"/>
      <c r="HL906" s="484"/>
      <c r="HM906" s="484"/>
      <c r="HN906" s="484"/>
      <c r="HO906" s="484"/>
      <c r="HP906" s="484"/>
      <c r="HQ906" s="484"/>
      <c r="HR906" s="484"/>
      <c r="HS906" s="484"/>
      <c r="HT906" s="484"/>
      <c r="HU906" s="484"/>
      <c r="HV906" s="484"/>
      <c r="HW906" s="484"/>
      <c r="HX906" s="484"/>
      <c r="HY906" s="484"/>
      <c r="HZ906" s="484"/>
      <c r="IA906" s="484"/>
      <c r="IB906" s="484"/>
      <c r="IC906" s="484"/>
      <c r="ID906" s="484"/>
      <c r="IK906" s="10"/>
      <c r="JA906" s="10"/>
      <c r="JB906" s="10"/>
    </row>
    <row r="907" spans="1:262" s="533" customFormat="1" ht="15.6" customHeight="1">
      <c r="B907" s="533" t="s">
        <v>2275</v>
      </c>
      <c r="F907" s="1573">
        <f>'Part VI-Revenues &amp; Expenses'!F164</f>
        <v>129384</v>
      </c>
      <c r="G907" s="1573"/>
      <c r="I907" s="533" t="s">
        <v>1428</v>
      </c>
      <c r="K907" s="1573">
        <f>'Part VI-Revenues &amp; Expenses'!K164</f>
        <v>84000</v>
      </c>
      <c r="L907" s="1573"/>
      <c r="N907" s="533" t="s">
        <v>962</v>
      </c>
      <c r="P907" s="1582">
        <f>'Part VI-Revenues &amp; Expenses'!P164</f>
        <v>203000</v>
      </c>
      <c r="Q907" s="1582"/>
      <c r="U907" s="1477"/>
      <c r="V907" s="1477"/>
      <c r="W907" s="531"/>
      <c r="X907" s="531"/>
      <c r="Y907" s="531"/>
      <c r="GT907" s="484"/>
      <c r="GY907" s="484"/>
      <c r="GZ907" s="484"/>
      <c r="HA907" s="484"/>
      <c r="HB907" s="484"/>
      <c r="HC907" s="484"/>
      <c r="HD907" s="484"/>
      <c r="HE907" s="484"/>
      <c r="HF907" s="484"/>
      <c r="HG907" s="484"/>
      <c r="HH907" s="484"/>
      <c r="HI907" s="484"/>
      <c r="HJ907" s="484"/>
      <c r="HK907" s="484"/>
      <c r="HL907" s="484"/>
      <c r="HM907" s="484"/>
      <c r="HN907" s="484"/>
      <c r="HO907" s="484"/>
      <c r="HP907" s="484"/>
      <c r="HQ907" s="484"/>
      <c r="HR907" s="484"/>
      <c r="HS907" s="484"/>
      <c r="HT907" s="484"/>
      <c r="HU907" s="484"/>
      <c r="HV907" s="484"/>
      <c r="HW907" s="484"/>
      <c r="HX907" s="484"/>
      <c r="HY907" s="484"/>
      <c r="HZ907" s="484"/>
      <c r="IA907" s="484"/>
      <c r="IB907" s="484"/>
      <c r="IC907" s="484"/>
      <c r="ID907" s="484"/>
      <c r="IK907" s="10"/>
      <c r="JA907" s="10"/>
      <c r="JB907" s="10"/>
    </row>
    <row r="908" spans="1:262" s="533" customFormat="1" ht="15.6" customHeight="1">
      <c r="B908" s="533" t="s">
        <v>1417</v>
      </c>
      <c r="F908" s="1573">
        <f>'Part VI-Revenues &amp; Expenses'!F165</f>
        <v>117312</v>
      </c>
      <c r="G908" s="1573"/>
      <c r="I908" s="533" t="s">
        <v>1429</v>
      </c>
      <c r="K908" s="1573">
        <f>'Part VI-Revenues &amp; Expenses'!K165</f>
        <v>1200</v>
      </c>
      <c r="L908" s="1573"/>
      <c r="N908" s="533" t="s">
        <v>152</v>
      </c>
      <c r="P908" s="1582">
        <f>'Part VI-Revenues &amp; Expenses'!P165</f>
        <v>57601</v>
      </c>
      <c r="Q908" s="1582"/>
      <c r="U908" s="1477"/>
      <c r="V908" s="1477"/>
      <c r="W908" s="531"/>
      <c r="X908" s="531"/>
      <c r="Y908" s="531"/>
      <c r="GT908" s="484"/>
      <c r="GY908" s="484"/>
      <c r="GZ908" s="484"/>
      <c r="HA908" s="484"/>
      <c r="HB908" s="484"/>
      <c r="HC908" s="484"/>
      <c r="HD908" s="484"/>
      <c r="HE908" s="484"/>
      <c r="HF908" s="484"/>
      <c r="HG908" s="484"/>
      <c r="HH908" s="484"/>
      <c r="HI908" s="484"/>
      <c r="HJ908" s="484"/>
      <c r="HK908" s="484"/>
      <c r="HL908" s="484"/>
      <c r="HM908" s="484"/>
      <c r="HN908" s="484"/>
      <c r="HO908" s="484"/>
      <c r="HP908" s="484"/>
      <c r="HQ908" s="484"/>
      <c r="HR908" s="484"/>
      <c r="HS908" s="484"/>
      <c r="HT908" s="484"/>
      <c r="HU908" s="484"/>
      <c r="HV908" s="484"/>
      <c r="HW908" s="484"/>
      <c r="HX908" s="484"/>
      <c r="HY908" s="484"/>
      <c r="HZ908" s="484"/>
      <c r="IA908" s="484"/>
      <c r="IB908" s="484"/>
      <c r="IC908" s="484"/>
      <c r="ID908" s="484"/>
      <c r="IK908" s="10"/>
      <c r="JA908" s="10"/>
      <c r="JB908" s="10"/>
    </row>
    <row r="909" spans="1:262" s="533" customFormat="1" ht="15.6" customHeight="1">
      <c r="B909" s="533" t="s">
        <v>1286</v>
      </c>
      <c r="F909" s="1573">
        <f>'Part VI-Revenues &amp; Expenses'!F166</f>
        <v>55000</v>
      </c>
      <c r="G909" s="1573"/>
      <c r="J909" s="132" t="s">
        <v>197</v>
      </c>
      <c r="K909" s="1573">
        <f>SUM(K907:L908)</f>
        <v>85200</v>
      </c>
      <c r="L909" s="1573"/>
      <c r="N909" s="1586" t="str">
        <f>'Part VI-Revenues &amp; Expenses'!N166</f>
        <v>Other (describe here)</v>
      </c>
      <c r="O909" s="1586"/>
      <c r="P909" s="1582">
        <f>'Part VI-Revenues &amp; Expenses'!P166</f>
        <v>0</v>
      </c>
      <c r="Q909" s="1582"/>
      <c r="U909" s="1477"/>
      <c r="V909" s="1477"/>
      <c r="W909" s="531"/>
      <c r="X909" s="531"/>
      <c r="Y909" s="531"/>
      <c r="GT909" s="484"/>
      <c r="GY909" s="484"/>
      <c r="GZ909" s="484"/>
      <c r="HA909" s="484"/>
      <c r="HB909" s="484"/>
      <c r="HC909" s="484"/>
      <c r="HD909" s="484"/>
      <c r="HE909" s="484"/>
      <c r="HF909" s="484"/>
      <c r="HG909" s="484"/>
      <c r="HH909" s="484"/>
      <c r="HI909" s="484"/>
      <c r="HJ909" s="484"/>
      <c r="HK909" s="484"/>
      <c r="HL909" s="484"/>
      <c r="HM909" s="484"/>
      <c r="HN909" s="484"/>
      <c r="HO909" s="484"/>
      <c r="HP909" s="484"/>
      <c r="HQ909" s="484"/>
      <c r="HR909" s="484"/>
      <c r="HS909" s="484"/>
      <c r="HT909" s="484"/>
      <c r="HU909" s="484"/>
      <c r="HV909" s="484"/>
      <c r="HW909" s="484"/>
      <c r="HX909" s="484"/>
      <c r="HY909" s="484"/>
      <c r="HZ909" s="484"/>
      <c r="IA909" s="484"/>
      <c r="IB909" s="484"/>
      <c r="IC909" s="484"/>
      <c r="ID909" s="484"/>
      <c r="IK909" s="10"/>
      <c r="JA909" s="10"/>
      <c r="JB909" s="10"/>
    </row>
    <row r="910" spans="1:262" s="533" customFormat="1" ht="15.6" customHeight="1">
      <c r="B910" s="54">
        <f>'Part VI-Revenues &amp; Expenses'!B167</f>
        <v>0</v>
      </c>
      <c r="C910" s="54"/>
      <c r="D910" s="54"/>
      <c r="E910" s="54"/>
      <c r="F910" s="1573">
        <f>'Part VI-Revenues &amp; Expenses'!F167</f>
        <v>0</v>
      </c>
      <c r="G910" s="1573"/>
      <c r="N910" s="132" t="s">
        <v>197</v>
      </c>
      <c r="P910" s="1582">
        <f>SUM(P907:P909)</f>
        <v>260601</v>
      </c>
      <c r="Q910" s="1582"/>
      <c r="U910" s="1477"/>
      <c r="V910" s="1477"/>
      <c r="W910" s="531"/>
      <c r="X910" s="531"/>
      <c r="Y910" s="531"/>
      <c r="GT910" s="484"/>
      <c r="GY910" s="484"/>
      <c r="GZ910" s="484"/>
      <c r="HA910" s="484"/>
      <c r="HB910" s="484"/>
      <c r="HC910" s="484"/>
      <c r="HD910" s="484"/>
      <c r="HE910" s="484"/>
      <c r="HF910" s="484"/>
      <c r="HG910" s="484"/>
      <c r="HH910" s="484"/>
      <c r="HI910" s="484"/>
      <c r="HJ910" s="484"/>
      <c r="HK910" s="484"/>
      <c r="HL910" s="484"/>
      <c r="HM910" s="484"/>
      <c r="HN910" s="484"/>
      <c r="HO910" s="484"/>
      <c r="HP910" s="484"/>
      <c r="HQ910" s="484"/>
      <c r="HR910" s="484"/>
      <c r="HS910" s="484"/>
      <c r="HT910" s="484"/>
      <c r="HU910" s="484"/>
      <c r="HV910" s="484"/>
      <c r="HW910" s="484"/>
      <c r="HX910" s="484"/>
      <c r="HY910" s="484"/>
      <c r="HZ910" s="484"/>
      <c r="IA910" s="484"/>
      <c r="IB910" s="484"/>
      <c r="IC910" s="484"/>
      <c r="ID910" s="484"/>
      <c r="IK910" s="10"/>
      <c r="JA910" s="10"/>
      <c r="JB910" s="10"/>
    </row>
    <row r="911" spans="1:262" s="533" customFormat="1" ht="15.6" customHeight="1">
      <c r="C911" s="132" t="s">
        <v>197</v>
      </c>
      <c r="F911" s="1573">
        <f>SUM(F907:G910)</f>
        <v>301696</v>
      </c>
      <c r="G911" s="1573"/>
      <c r="J911" s="1564"/>
      <c r="U911" s="1477"/>
      <c r="V911" s="1477"/>
      <c r="W911" s="531"/>
      <c r="X911" s="531"/>
      <c r="Y911" s="531"/>
      <c r="GT911" s="484"/>
      <c r="GY911" s="484"/>
      <c r="GZ911" s="484"/>
      <c r="HA911" s="484"/>
      <c r="HB911" s="484"/>
      <c r="HC911" s="484"/>
      <c r="HD911" s="484"/>
      <c r="HE911" s="484"/>
      <c r="HF911" s="484"/>
      <c r="HG911" s="484"/>
      <c r="HH911" s="484"/>
      <c r="HI911" s="484"/>
      <c r="HJ911" s="484"/>
      <c r="HK911" s="484"/>
      <c r="HL911" s="484"/>
      <c r="HM911" s="484"/>
      <c r="HN911" s="484"/>
      <c r="HO911" s="484"/>
      <c r="HP911" s="484"/>
      <c r="HQ911" s="484"/>
      <c r="HR911" s="484"/>
      <c r="HS911" s="484"/>
      <c r="HT911" s="484"/>
      <c r="HU911" s="484"/>
      <c r="HV911" s="484"/>
      <c r="HW911" s="484"/>
      <c r="HX911" s="484"/>
      <c r="HY911" s="484"/>
      <c r="HZ911" s="484"/>
      <c r="IA911" s="484"/>
      <c r="IB911" s="484"/>
      <c r="IC911" s="484"/>
      <c r="ID911" s="484"/>
      <c r="IK911" s="10"/>
      <c r="JA911" s="10"/>
      <c r="JB911" s="10"/>
    </row>
    <row r="912" spans="1:262" s="533" customFormat="1" ht="6" customHeight="1">
      <c r="C912" s="10"/>
      <c r="D912" s="132"/>
      <c r="F912" s="1564"/>
      <c r="G912" s="1564"/>
      <c r="J912" s="1564"/>
      <c r="M912" s="10"/>
      <c r="O912" s="132"/>
      <c r="U912" s="1477"/>
      <c r="V912" s="1477"/>
      <c r="GT912" s="484"/>
      <c r="GY912" s="484"/>
      <c r="GZ912" s="484"/>
      <c r="HA912" s="484"/>
      <c r="HB912" s="484"/>
      <c r="HC912" s="484"/>
      <c r="HD912" s="484"/>
      <c r="HE912" s="484"/>
      <c r="HF912" s="484"/>
      <c r="HG912" s="484"/>
      <c r="HH912" s="484"/>
      <c r="HI912" s="484"/>
      <c r="HJ912" s="484"/>
      <c r="HK912" s="484"/>
      <c r="HL912" s="484"/>
      <c r="HM912" s="484"/>
      <c r="HN912" s="484"/>
      <c r="HO912" s="484"/>
      <c r="HP912" s="484"/>
      <c r="HQ912" s="484"/>
      <c r="HR912" s="484"/>
      <c r="HS912" s="484"/>
      <c r="HT912" s="484"/>
      <c r="HU912" s="484"/>
      <c r="HV912" s="484"/>
      <c r="HW912" s="484"/>
      <c r="HX912" s="484"/>
      <c r="HY912" s="484"/>
      <c r="HZ912" s="484"/>
      <c r="IA912" s="484"/>
      <c r="IB912" s="484"/>
      <c r="IC912" s="484"/>
      <c r="ID912" s="484"/>
      <c r="IK912" s="10"/>
      <c r="JA912" s="10"/>
      <c r="JB912" s="10"/>
    </row>
    <row r="913" spans="2:262" s="533" customFormat="1" ht="13.15" customHeight="1">
      <c r="B913" s="10" t="s">
        <v>1340</v>
      </c>
      <c r="D913" s="1587"/>
      <c r="I913" s="10" t="s">
        <v>1341</v>
      </c>
      <c r="N913" s="10" t="s">
        <v>1430</v>
      </c>
      <c r="P913" s="1588">
        <f>IF(OR('Part VII-Pro Forma'!$B$20 = "Choose Mgt Fee",'Part VII-Pro Forma'!$B$20 = "Choose One!"), 0,- 'Part VII-Pro Forma'!$B$20)</f>
        <v>141806</v>
      </c>
      <c r="Q913" s="1588"/>
      <c r="U913" s="1477"/>
      <c r="V913" s="1477"/>
      <c r="W913" s="531"/>
      <c r="X913" s="531"/>
      <c r="Y913" s="531"/>
      <c r="GT913" s="484"/>
      <c r="GY913" s="484"/>
      <c r="GZ913" s="484"/>
      <c r="HA913" s="484"/>
      <c r="HB913" s="484"/>
      <c r="HC913" s="484"/>
      <c r="HD913" s="484"/>
      <c r="HE913" s="484"/>
      <c r="HF913" s="484"/>
      <c r="HG913" s="484"/>
      <c r="HH913" s="484"/>
      <c r="HI913" s="484"/>
      <c r="HJ913" s="484"/>
      <c r="HK913" s="484"/>
      <c r="HL913" s="484"/>
      <c r="HM913" s="484"/>
      <c r="HN913" s="484"/>
      <c r="HO913" s="484"/>
      <c r="HP913" s="484"/>
      <c r="HQ913" s="484"/>
      <c r="HR913" s="484"/>
      <c r="HS913" s="484"/>
      <c r="HT913" s="484"/>
      <c r="HU913" s="484"/>
      <c r="HV913" s="484"/>
      <c r="HW913" s="484"/>
      <c r="HX913" s="484"/>
      <c r="HY913" s="484"/>
      <c r="HZ913" s="484"/>
      <c r="IA913" s="484"/>
      <c r="IB913" s="484"/>
      <c r="IC913" s="484"/>
      <c r="ID913" s="484"/>
      <c r="IK913" s="10"/>
      <c r="JA913" s="10"/>
      <c r="JB913" s="10"/>
    </row>
    <row r="914" spans="2:262" s="533" customFormat="1" ht="15.6" customHeight="1">
      <c r="B914" s="533" t="s">
        <v>1422</v>
      </c>
      <c r="D914" s="1587"/>
      <c r="F914" s="1573">
        <f>'Part VI-Revenues &amp; Expenses'!F171</f>
        <v>10006</v>
      </c>
      <c r="G914" s="1573"/>
      <c r="I914" s="533" t="s">
        <v>1660</v>
      </c>
      <c r="K914" s="1573">
        <f>'Part VI-Revenues &amp; Expenses'!K171</f>
        <v>10000</v>
      </c>
      <c r="L914" s="1573"/>
      <c r="N914" s="1589">
        <f>+P913/(O805*0.93)</f>
        <v>733.07485525227457</v>
      </c>
      <c r="O914" s="71" t="s">
        <v>2872</v>
      </c>
      <c r="U914" s="1477"/>
      <c r="V914" s="1477"/>
      <c r="W914" s="531"/>
      <c r="X914" s="531"/>
      <c r="Y914" s="531"/>
      <c r="GT914" s="484"/>
      <c r="GY914" s="484"/>
      <c r="GZ914" s="484"/>
      <c r="HA914" s="484"/>
      <c r="HB914" s="484"/>
      <c r="HC914" s="484"/>
      <c r="HD914" s="484"/>
      <c r="HE914" s="484"/>
      <c r="HF914" s="484"/>
      <c r="HG914" s="484"/>
      <c r="HH914" s="484"/>
      <c r="HI914" s="484"/>
      <c r="HJ914" s="484"/>
      <c r="HK914" s="484"/>
      <c r="HL914" s="484"/>
      <c r="HM914" s="484"/>
      <c r="HN914" s="484"/>
      <c r="HO914" s="484"/>
      <c r="HP914" s="484"/>
      <c r="HQ914" s="484"/>
      <c r="HR914" s="484"/>
      <c r="HS914" s="484"/>
      <c r="HT914" s="484"/>
      <c r="HU914" s="484"/>
      <c r="HV914" s="484"/>
      <c r="HW914" s="484"/>
      <c r="HX914" s="484"/>
      <c r="HY914" s="484"/>
      <c r="HZ914" s="484"/>
      <c r="IA914" s="484"/>
      <c r="IB914" s="484"/>
      <c r="IC914" s="484"/>
      <c r="ID914" s="484"/>
      <c r="IK914" s="10"/>
      <c r="JA914" s="10"/>
      <c r="JB914" s="10"/>
    </row>
    <row r="915" spans="2:262" s="533" customFormat="1" ht="15.6" customHeight="1">
      <c r="B915" s="533" t="s">
        <v>1423</v>
      </c>
      <c r="D915" s="1587"/>
      <c r="F915" s="1573">
        <f>'Part VI-Revenues &amp; Expenses'!F172</f>
        <v>12000</v>
      </c>
      <c r="G915" s="1573"/>
      <c r="I915" s="533" t="s">
        <v>2127</v>
      </c>
      <c r="K915" s="1573">
        <f>'Part VI-Revenues &amp; Expenses'!K172</f>
        <v>12000</v>
      </c>
      <c r="L915" s="1573"/>
      <c r="N915" s="1589">
        <f>+P913/(O805*0.93)/12</f>
        <v>61.089571271022884</v>
      </c>
      <c r="O915" s="71" t="s">
        <v>2873</v>
      </c>
      <c r="U915" s="1477"/>
      <c r="V915" s="1477"/>
      <c r="W915" s="531"/>
      <c r="X915" s="531"/>
      <c r="Y915" s="531"/>
      <c r="GT915" s="484"/>
      <c r="GY915" s="484"/>
      <c r="GZ915" s="484"/>
      <c r="HA915" s="484"/>
      <c r="HB915" s="484"/>
      <c r="HC915" s="484"/>
      <c r="HD915" s="484"/>
      <c r="HE915" s="484"/>
      <c r="HF915" s="484"/>
      <c r="HG915" s="484"/>
      <c r="HH915" s="484"/>
      <c r="HI915" s="484"/>
      <c r="HJ915" s="484"/>
      <c r="HK915" s="484"/>
      <c r="HL915" s="484"/>
      <c r="HM915" s="484"/>
      <c r="HN915" s="484"/>
      <c r="HO915" s="484"/>
      <c r="HP915" s="484"/>
      <c r="HQ915" s="484"/>
      <c r="HR915" s="484"/>
      <c r="HS915" s="484"/>
      <c r="HT915" s="484"/>
      <c r="HU915" s="484"/>
      <c r="HV915" s="484"/>
      <c r="HW915" s="484"/>
      <c r="HX915" s="484"/>
      <c r="HY915" s="484"/>
      <c r="HZ915" s="484"/>
      <c r="IA915" s="484"/>
      <c r="IB915" s="484"/>
      <c r="IC915" s="484"/>
      <c r="ID915" s="484"/>
      <c r="IK915" s="10"/>
      <c r="JA915" s="10"/>
      <c r="JB915" s="10"/>
    </row>
    <row r="916" spans="2:262" s="533" customFormat="1" ht="15.6" customHeight="1">
      <c r="B916" s="533" t="s">
        <v>1424</v>
      </c>
      <c r="D916" s="1587"/>
      <c r="F916" s="1573">
        <f>'Part VI-Revenues &amp; Expenses'!F173</f>
        <v>1000</v>
      </c>
      <c r="G916" s="1573"/>
      <c r="I916" s="533" t="s">
        <v>1661</v>
      </c>
      <c r="K916" s="1573">
        <f>'Part VI-Revenues &amp; Expenses'!K173</f>
        <v>7500</v>
      </c>
      <c r="L916" s="1573"/>
      <c r="N916" s="144" t="s">
        <v>2546</v>
      </c>
      <c r="O916" s="144"/>
      <c r="P916" s="144"/>
      <c r="Q916" s="1403"/>
      <c r="U916" s="1477"/>
      <c r="V916" s="1477"/>
      <c r="W916" s="531"/>
      <c r="X916" s="531"/>
      <c r="Y916" s="531"/>
      <c r="GT916" s="484"/>
      <c r="GY916" s="484"/>
      <c r="GZ916" s="484"/>
      <c r="HA916" s="484"/>
      <c r="HB916" s="484"/>
      <c r="HC916" s="484"/>
      <c r="HD916" s="484"/>
      <c r="HE916" s="484"/>
      <c r="HF916" s="484"/>
      <c r="HG916" s="484"/>
      <c r="HH916" s="484"/>
      <c r="HI916" s="484"/>
      <c r="HJ916" s="484"/>
      <c r="HK916" s="484"/>
      <c r="HL916" s="484"/>
      <c r="HM916" s="484"/>
      <c r="HN916" s="484"/>
      <c r="HO916" s="484"/>
      <c r="HP916" s="484"/>
      <c r="HQ916" s="484"/>
      <c r="HR916" s="484"/>
      <c r="HS916" s="484"/>
      <c r="HT916" s="484"/>
      <c r="HU916" s="484"/>
      <c r="HV916" s="484"/>
      <c r="HW916" s="484"/>
      <c r="HX916" s="484"/>
      <c r="HY916" s="484"/>
      <c r="HZ916" s="484"/>
      <c r="IA916" s="484"/>
      <c r="IB916" s="484"/>
      <c r="IC916" s="484"/>
      <c r="ID916" s="484"/>
      <c r="IK916" s="10"/>
      <c r="JA916" s="10"/>
      <c r="JB916" s="10"/>
    </row>
    <row r="917" spans="2:262" s="533" customFormat="1" ht="15.6" customHeight="1">
      <c r="B917" s="533" t="s">
        <v>2422</v>
      </c>
      <c r="D917" s="1587"/>
      <c r="F917" s="1573">
        <f>'Part VI-Revenues &amp; Expenses'!F174</f>
        <v>4400</v>
      </c>
      <c r="G917" s="1573"/>
      <c r="I917" s="1586" t="str">
        <f>'Part VI-Revenues &amp; Expenses'!I174</f>
        <v>Credit Reports</v>
      </c>
      <c r="J917" s="1586"/>
      <c r="K917" s="1573">
        <f>'Part VI-Revenues &amp; Expenses'!K174</f>
        <v>2100</v>
      </c>
      <c r="L917" s="1573"/>
      <c r="N917" s="144"/>
      <c r="O917" s="144"/>
      <c r="P917" s="144"/>
      <c r="Q917" s="1403"/>
      <c r="U917" s="1477"/>
      <c r="V917" s="1477"/>
      <c r="W917" s="531"/>
      <c r="X917" s="531"/>
      <c r="Y917" s="531"/>
      <c r="GT917" s="484"/>
      <c r="GY917" s="484"/>
      <c r="GZ917" s="484"/>
      <c r="HA917" s="484"/>
      <c r="HB917" s="484"/>
      <c r="HC917" s="484"/>
      <c r="HD917" s="484"/>
      <c r="HE917" s="484"/>
      <c r="HF917" s="484"/>
      <c r="HG917" s="484"/>
      <c r="HH917" s="484"/>
      <c r="HI917" s="484"/>
      <c r="HJ917" s="484"/>
      <c r="HK917" s="484"/>
      <c r="HL917" s="484"/>
      <c r="HM917" s="484"/>
      <c r="HN917" s="484"/>
      <c r="HO917" s="484"/>
      <c r="HP917" s="484"/>
      <c r="HQ917" s="484"/>
      <c r="HR917" s="484"/>
      <c r="HS917" s="484"/>
      <c r="HT917" s="484"/>
      <c r="HU917" s="484"/>
      <c r="HV917" s="484"/>
      <c r="HW917" s="484"/>
      <c r="HX917" s="484"/>
      <c r="HY917" s="484"/>
      <c r="HZ917" s="484"/>
      <c r="IA917" s="484"/>
      <c r="IB917" s="484"/>
      <c r="IC917" s="484"/>
      <c r="ID917" s="484"/>
      <c r="IK917" s="10"/>
      <c r="JA917" s="10"/>
      <c r="JB917" s="10"/>
    </row>
    <row r="918" spans="2:262" s="533" customFormat="1" ht="15.6" customHeight="1">
      <c r="B918" s="533" t="s">
        <v>1658</v>
      </c>
      <c r="D918" s="1587"/>
      <c r="F918" s="1573">
        <f>'Part VI-Revenues &amp; Expenses'!F175</f>
        <v>12000</v>
      </c>
      <c r="G918" s="1573"/>
      <c r="I918" s="10"/>
      <c r="J918" s="132" t="s">
        <v>197</v>
      </c>
      <c r="K918" s="1582">
        <f>SUM(K914:K917)</f>
        <v>31600</v>
      </c>
      <c r="L918" s="1582"/>
      <c r="U918" s="1477"/>
      <c r="V918" s="1477"/>
      <c r="W918" s="531"/>
      <c r="X918" s="531"/>
      <c r="Y918" s="531"/>
      <c r="GT918" s="484"/>
      <c r="GY918" s="484"/>
      <c r="GZ918" s="484"/>
      <c r="HA918" s="484"/>
      <c r="HB918" s="484"/>
      <c r="HC918" s="484"/>
      <c r="HD918" s="484"/>
      <c r="HE918" s="484"/>
      <c r="HF918" s="484"/>
      <c r="HG918" s="484"/>
      <c r="HH918" s="484"/>
      <c r="HI918" s="484"/>
      <c r="HJ918" s="484"/>
      <c r="HK918" s="484"/>
      <c r="HL918" s="484"/>
      <c r="HM918" s="484"/>
      <c r="HN918" s="484"/>
      <c r="HO918" s="484"/>
      <c r="HP918" s="484"/>
      <c r="HQ918" s="484"/>
      <c r="HR918" s="484"/>
      <c r="HS918" s="484"/>
      <c r="HT918" s="484"/>
      <c r="HU918" s="484"/>
      <c r="HV918" s="484"/>
      <c r="HW918" s="484"/>
      <c r="HX918" s="484"/>
      <c r="HY918" s="484"/>
      <c r="HZ918" s="484"/>
      <c r="IA918" s="484"/>
      <c r="IB918" s="484"/>
      <c r="IC918" s="484"/>
      <c r="ID918" s="484"/>
      <c r="IK918" s="10"/>
      <c r="JA918" s="10"/>
      <c r="JB918" s="10"/>
    </row>
    <row r="919" spans="2:262" s="533" customFormat="1" ht="15.6" customHeight="1">
      <c r="B919" s="54" t="str">
        <f>'Part VI-Revenues &amp; Expenses'!B176</f>
        <v>Bookkeeping/Software/Bank Charges</v>
      </c>
      <c r="C919" s="54"/>
      <c r="D919" s="54"/>
      <c r="E919" s="54"/>
      <c r="F919" s="1573">
        <f>'Part VI-Revenues &amp; Expenses'!F176</f>
        <v>17486</v>
      </c>
      <c r="G919" s="1573"/>
      <c r="J919" s="1564"/>
      <c r="N919" s="10" t="s">
        <v>2265</v>
      </c>
      <c r="P919" s="1582">
        <f>F911+F920+F931+K909+K918+K928+P910+P913</f>
        <v>1546226</v>
      </c>
      <c r="Q919" s="1582"/>
      <c r="U919" s="1477">
        <f>'Part VI-Revenues &amp; Expenses'!U176</f>
        <v>0</v>
      </c>
      <c r="V919" s="1477"/>
      <c r="W919" s="531"/>
      <c r="X919" s="531"/>
      <c r="Y919" s="531"/>
      <c r="GT919" s="484"/>
      <c r="GY919" s="484"/>
      <c r="GZ919" s="484"/>
      <c r="HA919" s="484"/>
      <c r="HB919" s="484"/>
      <c r="HC919" s="484"/>
      <c r="HD919" s="484"/>
      <c r="HE919" s="484"/>
      <c r="HF919" s="484"/>
      <c r="HG919" s="484"/>
      <c r="HH919" s="484"/>
      <c r="HI919" s="484"/>
      <c r="HJ919" s="484"/>
      <c r="HK919" s="484"/>
      <c r="HL919" s="484"/>
      <c r="HM919" s="484"/>
      <c r="HN919" s="484"/>
      <c r="HO919" s="484"/>
      <c r="HP919" s="484"/>
      <c r="HQ919" s="484"/>
      <c r="HR919" s="484"/>
      <c r="HS919" s="484"/>
      <c r="HT919" s="484"/>
      <c r="HU919" s="484"/>
      <c r="HV919" s="484"/>
      <c r="HW919" s="484"/>
      <c r="HX919" s="484"/>
      <c r="HY919" s="484"/>
      <c r="HZ919" s="484"/>
      <c r="IA919" s="484"/>
      <c r="IB919" s="484"/>
      <c r="IC919" s="484"/>
      <c r="ID919" s="484"/>
      <c r="IK919" s="10"/>
      <c r="JA919" s="10"/>
      <c r="JB919" s="10"/>
    </row>
    <row r="920" spans="2:262" s="533" customFormat="1" ht="15.6" customHeight="1">
      <c r="C920" s="132" t="s">
        <v>197</v>
      </c>
      <c r="F920" s="1573">
        <f>SUM(F914:G919)</f>
        <v>56892</v>
      </c>
      <c r="G920" s="1573"/>
      <c r="J920" s="1564"/>
      <c r="N920" s="1589">
        <f>+P919/O805</f>
        <v>7433.7788461538457</v>
      </c>
      <c r="O920" s="71" t="s">
        <v>2874</v>
      </c>
      <c r="U920" s="1477"/>
      <c r="V920" s="1477"/>
      <c r="W920" s="531"/>
      <c r="X920" s="531"/>
      <c r="Y920" s="531"/>
      <c r="GT920" s="484"/>
      <c r="GY920" s="484"/>
      <c r="GZ920" s="484"/>
      <c r="HA920" s="484"/>
      <c r="HB920" s="484"/>
      <c r="HC920" s="484"/>
      <c r="HD920" s="484"/>
      <c r="HE920" s="484"/>
      <c r="HF920" s="484"/>
      <c r="HG920" s="484"/>
      <c r="HH920" s="484"/>
      <c r="HI920" s="484"/>
      <c r="HJ920" s="484"/>
      <c r="HK920" s="484"/>
      <c r="HL920" s="484"/>
      <c r="HM920" s="484"/>
      <c r="HN920" s="484"/>
      <c r="HO920" s="484"/>
      <c r="HP920" s="484"/>
      <c r="HQ920" s="484"/>
      <c r="HR920" s="484"/>
      <c r="HS920" s="484"/>
      <c r="HT920" s="484"/>
      <c r="HU920" s="484"/>
      <c r="HV920" s="484"/>
      <c r="HW920" s="484"/>
      <c r="HX920" s="484"/>
      <c r="HY920" s="484"/>
      <c r="HZ920" s="484"/>
      <c r="IA920" s="484"/>
      <c r="IB920" s="484"/>
      <c r="IC920" s="484"/>
      <c r="ID920" s="484"/>
      <c r="IK920" s="10"/>
      <c r="JA920" s="10"/>
      <c r="JB920" s="10"/>
    </row>
    <row r="921" spans="2:262" s="533" customFormat="1" ht="6" customHeight="1">
      <c r="D921" s="132"/>
      <c r="F921" s="1564"/>
      <c r="G921" s="1564"/>
      <c r="J921" s="1564"/>
      <c r="U921" s="1477"/>
      <c r="V921" s="1477"/>
      <c r="GT921" s="484"/>
      <c r="GY921" s="484"/>
      <c r="GZ921" s="484"/>
      <c r="HA921" s="484"/>
      <c r="HB921" s="484"/>
      <c r="HC921" s="484"/>
      <c r="HD921" s="484"/>
      <c r="HE921" s="484"/>
      <c r="HF921" s="484"/>
      <c r="HG921" s="484"/>
      <c r="HH921" s="484"/>
      <c r="HI921" s="484"/>
      <c r="HJ921" s="484"/>
      <c r="HK921" s="484"/>
      <c r="HL921" s="484"/>
      <c r="HM921" s="484"/>
      <c r="HN921" s="484"/>
      <c r="HO921" s="484"/>
      <c r="HP921" s="484"/>
      <c r="HQ921" s="484"/>
      <c r="HR921" s="484"/>
      <c r="HS921" s="484"/>
      <c r="HT921" s="484"/>
      <c r="HU921" s="484"/>
      <c r="HV921" s="484"/>
      <c r="HW921" s="484"/>
      <c r="HX921" s="484"/>
      <c r="HY921" s="484"/>
      <c r="HZ921" s="484"/>
      <c r="IA921" s="484"/>
      <c r="IB921" s="484"/>
      <c r="IC921" s="484"/>
      <c r="ID921" s="484"/>
      <c r="IK921" s="10"/>
      <c r="JA921" s="10"/>
      <c r="JB921" s="10"/>
    </row>
    <row r="922" spans="2:262" s="533" customFormat="1" ht="15.75" customHeight="1">
      <c r="B922" s="10" t="s">
        <v>1342</v>
      </c>
      <c r="D922" s="1587"/>
      <c r="I922" s="10" t="s">
        <v>1425</v>
      </c>
      <c r="J922" s="1394" t="s">
        <v>2871</v>
      </c>
      <c r="N922" s="10" t="s">
        <v>3752</v>
      </c>
      <c r="O922" s="10"/>
      <c r="P922" s="1588">
        <f>P923*O805</f>
        <v>72800</v>
      </c>
      <c r="Q922" s="1588"/>
      <c r="U922" s="1477"/>
      <c r="V922" s="1477"/>
      <c r="W922" s="531"/>
      <c r="X922" s="531"/>
      <c r="Y922" s="531"/>
      <c r="GT922" s="484"/>
      <c r="GY922" s="484"/>
      <c r="GZ922" s="484"/>
      <c r="HA922" s="484"/>
      <c r="HB922" s="484"/>
      <c r="HC922" s="484"/>
      <c r="HD922" s="484"/>
      <c r="HE922" s="484"/>
      <c r="HF922" s="484"/>
      <c r="HG922" s="484"/>
      <c r="HH922" s="484"/>
      <c r="HI922" s="484"/>
      <c r="HJ922" s="484"/>
      <c r="HK922" s="484"/>
      <c r="HL922" s="484"/>
      <c r="HM922" s="484"/>
      <c r="HN922" s="484"/>
      <c r="HO922" s="484"/>
      <c r="HP922" s="484"/>
      <c r="HQ922" s="484"/>
      <c r="HR922" s="484"/>
      <c r="HS922" s="484"/>
      <c r="HT922" s="484"/>
      <c r="HU922" s="484"/>
      <c r="HV922" s="484"/>
      <c r="HW922" s="484"/>
      <c r="HX922" s="484"/>
      <c r="HY922" s="484"/>
      <c r="HZ922" s="484"/>
      <c r="IA922" s="484"/>
      <c r="IB922" s="484"/>
      <c r="IC922" s="484"/>
      <c r="ID922" s="484"/>
      <c r="IK922" s="10"/>
      <c r="JA922" s="10"/>
      <c r="JB922" s="10"/>
    </row>
    <row r="923" spans="2:262" s="533" customFormat="1" ht="15.6" customHeight="1">
      <c r="B923" s="533" t="s">
        <v>1662</v>
      </c>
      <c r="D923" s="1587"/>
      <c r="F923" s="1573">
        <f>'Part VI-Revenues &amp; Expenses'!F180</f>
        <v>25315</v>
      </c>
      <c r="G923" s="1573"/>
      <c r="I923" s="533" t="s">
        <v>1418</v>
      </c>
      <c r="J923" s="1501">
        <f>K923/12/O805</f>
        <v>120.19230769230769</v>
      </c>
      <c r="K923" s="1573">
        <f>'Part VI-Revenues &amp; Expenses'!K180</f>
        <v>300000</v>
      </c>
      <c r="L923" s="1573"/>
      <c r="N923" s="109" t="s">
        <v>3753</v>
      </c>
      <c r="P923" s="1590">
        <f>'Part VI-Revenues &amp; Expenses'!P180</f>
        <v>350</v>
      </c>
      <c r="Q923" s="1591"/>
      <c r="U923" s="1477"/>
      <c r="V923" s="1477"/>
      <c r="W923" s="531"/>
      <c r="X923" s="531"/>
      <c r="Y923" s="531"/>
      <c r="GT923" s="484"/>
      <c r="GY923" s="484"/>
      <c r="GZ923" s="484"/>
      <c r="HA923" s="484"/>
      <c r="HB923" s="484"/>
      <c r="HC923" s="484"/>
      <c r="HD923" s="484"/>
      <c r="HE923" s="484"/>
      <c r="HF923" s="484"/>
      <c r="HG923" s="484"/>
      <c r="HH923" s="484"/>
      <c r="HI923" s="484"/>
      <c r="HJ923" s="484"/>
      <c r="HK923" s="484"/>
      <c r="HL923" s="484"/>
      <c r="HM923" s="484"/>
      <c r="HN923" s="484"/>
      <c r="HO923" s="484"/>
      <c r="HP923" s="484"/>
      <c r="HQ923" s="484"/>
      <c r="HR923" s="484"/>
      <c r="HS923" s="484"/>
      <c r="HT923" s="484"/>
      <c r="HU923" s="484"/>
      <c r="HV923" s="484"/>
      <c r="HW923" s="484"/>
      <c r="HX923" s="484"/>
      <c r="HY923" s="484"/>
      <c r="HZ923" s="484"/>
      <c r="IA923" s="484"/>
      <c r="IB923" s="484"/>
      <c r="IC923" s="484"/>
      <c r="ID923" s="484"/>
      <c r="IK923" s="10"/>
      <c r="JA923" s="10"/>
      <c r="JB923" s="10"/>
    </row>
    <row r="924" spans="2:262" s="533" customFormat="1" ht="15.6" customHeight="1">
      <c r="B924" s="533" t="s">
        <v>1663</v>
      </c>
      <c r="D924" s="1587"/>
      <c r="F924" s="1573">
        <f>'Part VI-Revenues &amp; Expenses'!F181</f>
        <v>8072</v>
      </c>
      <c r="G924" s="1573"/>
      <c r="I924" s="533" t="s">
        <v>1419</v>
      </c>
      <c r="J924" s="1501">
        <f>K924/12/O805</f>
        <v>18.028846153846153</v>
      </c>
      <c r="K924" s="1573">
        <f>'Part VI-Revenues &amp; Expenses'!K181</f>
        <v>45000</v>
      </c>
      <c r="L924" s="1573"/>
      <c r="N924" s="845">
        <f>ROUND(P931/O805,0)</f>
        <v>350</v>
      </c>
      <c r="O924" s="71" t="s">
        <v>2874</v>
      </c>
      <c r="R924" s="844"/>
      <c r="U924" s="1477"/>
      <c r="V924" s="1477"/>
      <c r="W924" s="531"/>
      <c r="X924" s="531"/>
      <c r="Y924" s="531"/>
      <c r="GT924" s="484"/>
      <c r="GY924" s="484"/>
      <c r="GZ924" s="484"/>
      <c r="HA924" s="484"/>
      <c r="HB924" s="484"/>
      <c r="HC924" s="484"/>
      <c r="HD924" s="484"/>
      <c r="HE924" s="484"/>
      <c r="HF924" s="484"/>
      <c r="HG924" s="484"/>
      <c r="HH924" s="484"/>
      <c r="HI924" s="484"/>
      <c r="HJ924" s="484"/>
      <c r="HK924" s="484"/>
      <c r="HL924" s="484"/>
      <c r="HM924" s="484"/>
      <c r="HN924" s="484"/>
      <c r="HO924" s="484"/>
      <c r="HP924" s="484"/>
      <c r="HQ924" s="484"/>
      <c r="HR924" s="484"/>
      <c r="HS924" s="484"/>
      <c r="HT924" s="484"/>
      <c r="HU924" s="484"/>
      <c r="HV924" s="484"/>
      <c r="HW924" s="484"/>
      <c r="HX924" s="484"/>
      <c r="HY924" s="484"/>
      <c r="HZ924" s="484"/>
      <c r="IA924" s="484"/>
      <c r="IB924" s="484"/>
      <c r="IC924" s="484"/>
      <c r="ID924" s="484"/>
      <c r="IK924" s="10"/>
      <c r="JA924" s="10"/>
      <c r="JB924" s="10"/>
    </row>
    <row r="925" spans="2:262" s="533" customFormat="1" ht="15.6" customHeight="1">
      <c r="B925" s="533" t="s">
        <v>1664</v>
      </c>
      <c r="D925" s="1587"/>
      <c r="F925" s="1573">
        <f>'Part VI-Revenues &amp; Expenses'!F182</f>
        <v>21000</v>
      </c>
      <c r="G925" s="1573"/>
      <c r="I925" s="533" t="s">
        <v>2434</v>
      </c>
      <c r="J925" s="1501">
        <f>K925/12/O805</f>
        <v>56.089743589743584</v>
      </c>
      <c r="K925" s="1573">
        <f>'Part VI-Revenues &amp; Expenses'!K182</f>
        <v>140000</v>
      </c>
      <c r="L925" s="1573"/>
      <c r="N925" s="844" t="s">
        <v>2821</v>
      </c>
      <c r="O925" s="1160" t="s">
        <v>3679</v>
      </c>
      <c r="P925" s="1160" t="s">
        <v>3680</v>
      </c>
      <c r="Q925" s="1160"/>
      <c r="U925" s="1477"/>
      <c r="V925" s="1477"/>
      <c r="W925" s="531"/>
      <c r="X925" s="531"/>
      <c r="Y925" s="531"/>
      <c r="GT925" s="484"/>
      <c r="GY925" s="484"/>
      <c r="GZ925" s="484"/>
      <c r="HA925" s="484"/>
      <c r="HB925" s="484"/>
      <c r="HC925" s="484"/>
      <c r="HD925" s="484"/>
      <c r="HE925" s="484"/>
      <c r="HF925" s="484"/>
      <c r="HG925" s="484"/>
      <c r="HH925" s="484"/>
      <c r="HI925" s="484"/>
      <c r="HJ925" s="484"/>
      <c r="HK925" s="484"/>
      <c r="HL925" s="484"/>
      <c r="HM925" s="484"/>
      <c r="HN925" s="484"/>
      <c r="HO925" s="484"/>
      <c r="HP925" s="484"/>
      <c r="HQ925" s="484"/>
      <c r="HR925" s="484"/>
      <c r="HS925" s="484"/>
      <c r="HT925" s="484"/>
      <c r="HU925" s="484"/>
      <c r="HV925" s="484"/>
      <c r="HW925" s="484"/>
      <c r="HX925" s="484"/>
      <c r="HY925" s="484"/>
      <c r="HZ925" s="484"/>
      <c r="IA925" s="484"/>
      <c r="IB925" s="484"/>
      <c r="IC925" s="484"/>
      <c r="ID925" s="484"/>
      <c r="IK925" s="10"/>
      <c r="JA925" s="10"/>
      <c r="JB925" s="10"/>
    </row>
    <row r="926" spans="2:262" s="533" customFormat="1" ht="15.6" customHeight="1">
      <c r="B926" s="533" t="s">
        <v>1039</v>
      </c>
      <c r="D926" s="1587"/>
      <c r="F926" s="1573">
        <f>'Part VI-Revenues &amp; Expenses'!F183</f>
        <v>3150</v>
      </c>
      <c r="G926" s="1573"/>
      <c r="I926" s="533" t="s">
        <v>1421</v>
      </c>
      <c r="K926" s="1573">
        <f>'Part VI-Revenues &amp; Expenses'!K183</f>
        <v>19000</v>
      </c>
      <c r="L926" s="1573"/>
      <c r="N926" s="782" t="s">
        <v>41</v>
      </c>
      <c r="U926" s="1477"/>
      <c r="V926" s="1477"/>
      <c r="W926" s="531"/>
      <c r="X926" s="531"/>
      <c r="Y926" s="531"/>
      <c r="GT926" s="484"/>
      <c r="GY926" s="484"/>
      <c r="GZ926" s="484"/>
      <c r="HA926" s="484"/>
      <c r="HB926" s="484"/>
      <c r="HC926" s="484"/>
      <c r="HD926" s="484"/>
      <c r="HE926" s="484"/>
      <c r="HF926" s="484"/>
      <c r="HG926" s="484"/>
      <c r="HH926" s="484"/>
      <c r="HI926" s="484"/>
      <c r="HJ926" s="484"/>
      <c r="HK926" s="484"/>
      <c r="HL926" s="484"/>
      <c r="HM926" s="484"/>
      <c r="HN926" s="484"/>
      <c r="HO926" s="484"/>
      <c r="HP926" s="484"/>
      <c r="HQ926" s="484"/>
      <c r="HR926" s="484"/>
      <c r="HS926" s="484"/>
      <c r="HT926" s="484"/>
      <c r="HU926" s="484"/>
      <c r="HV926" s="484"/>
      <c r="HW926" s="484"/>
      <c r="HX926" s="484"/>
      <c r="HY926" s="484"/>
      <c r="HZ926" s="484"/>
      <c r="IA926" s="484"/>
      <c r="IB926" s="484"/>
      <c r="IC926" s="484"/>
      <c r="ID926" s="484"/>
      <c r="IK926" s="10"/>
      <c r="JA926" s="10"/>
      <c r="JB926" s="10"/>
    </row>
    <row r="927" spans="2:262" s="533" customFormat="1" ht="15.6" customHeight="1">
      <c r="B927" s="533" t="s">
        <v>1040</v>
      </c>
      <c r="D927" s="1587"/>
      <c r="F927" s="1573">
        <f>'Part VI-Revenues &amp; Expenses'!F184</f>
        <v>15695</v>
      </c>
      <c r="G927" s="1573"/>
      <c r="I927" s="1586" t="str">
        <f>'Part VI-Revenues &amp; Expenses'!I184</f>
        <v>Other (describe here)</v>
      </c>
      <c r="J927" s="1586"/>
      <c r="K927" s="1573">
        <f>'Part VI-Revenues &amp; Expenses'!K184</f>
        <v>0</v>
      </c>
      <c r="L927" s="1573"/>
      <c r="N927" s="573" t="s">
        <v>3671</v>
      </c>
      <c r="O927" s="1169" t="str">
        <f>CONCATENATE(SUM(JC791:JG791)," units x $",'DCA Underwriting Assumptions'!$Q$62," =")</f>
        <v>208 units x $350 =</v>
      </c>
      <c r="P927" s="1169">
        <f>SUM(JC791:JG791)*'DCA Underwriting Assumptions'!$Q$62</f>
        <v>72800</v>
      </c>
      <c r="Q927" s="1169"/>
      <c r="U927" s="1477"/>
      <c r="V927" s="1477"/>
      <c r="W927" s="531"/>
      <c r="X927" s="531"/>
      <c r="Y927" s="531"/>
      <c r="GT927" s="484"/>
      <c r="GY927" s="484"/>
      <c r="GZ927" s="484"/>
      <c r="HA927" s="484"/>
      <c r="HB927" s="484"/>
      <c r="HC927" s="484"/>
      <c r="HD927" s="484"/>
      <c r="HE927" s="484"/>
      <c r="HF927" s="484"/>
      <c r="HG927" s="484"/>
      <c r="HH927" s="484"/>
      <c r="HI927" s="484"/>
      <c r="HJ927" s="484"/>
      <c r="HK927" s="484"/>
      <c r="HL927" s="484"/>
      <c r="HM927" s="484"/>
      <c r="HN927" s="484"/>
      <c r="HO927" s="484"/>
      <c r="HP927" s="484"/>
      <c r="HQ927" s="484"/>
      <c r="HR927" s="484"/>
      <c r="HS927" s="484"/>
      <c r="HT927" s="484"/>
      <c r="HU927" s="484"/>
      <c r="HV927" s="484"/>
      <c r="HW927" s="484"/>
      <c r="HX927" s="484"/>
      <c r="HY927" s="484"/>
      <c r="HZ927" s="484"/>
      <c r="IA927" s="484"/>
      <c r="IB927" s="484"/>
      <c r="IC927" s="484"/>
      <c r="ID927" s="484"/>
      <c r="IK927" s="10"/>
      <c r="JA927" s="10"/>
      <c r="JB927" s="10"/>
    </row>
    <row r="928" spans="2:262" s="533" customFormat="1" ht="15.6" customHeight="1">
      <c r="B928" s="533" t="s">
        <v>1041</v>
      </c>
      <c r="D928" s="1587"/>
      <c r="F928" s="1573">
        <f>'Part VI-Revenues &amp; Expenses'!F185</f>
        <v>12000</v>
      </c>
      <c r="G928" s="1573"/>
      <c r="J928" s="132" t="s">
        <v>197</v>
      </c>
      <c r="K928" s="1582">
        <f>SUM(K923:K927)</f>
        <v>504000</v>
      </c>
      <c r="L928" s="1582"/>
      <c r="N928" s="573" t="s">
        <v>3670</v>
      </c>
      <c r="O928" s="1169" t="str">
        <f>CONCATENATE(SUM(JH791:JL791)," units x $",'DCA Underwriting Assumptions'!$Q$63," =")</f>
        <v>0 units x $250 =</v>
      </c>
      <c r="P928" s="1169">
        <f>SUM(JH791:JL791)*'DCA Underwriting Assumptions'!$Q$63</f>
        <v>0</v>
      </c>
      <c r="Q928" s="1169"/>
      <c r="U928" s="1477"/>
      <c r="V928" s="1477"/>
      <c r="W928" s="531"/>
      <c r="X928" s="531"/>
      <c r="Y928" s="531"/>
      <c r="GT928" s="484"/>
      <c r="GY928" s="484"/>
      <c r="GZ928" s="484"/>
      <c r="HA928" s="484"/>
      <c r="HB928" s="484"/>
      <c r="HC928" s="484"/>
      <c r="HD928" s="484"/>
      <c r="HE928" s="484"/>
      <c r="HF928" s="484"/>
      <c r="HG928" s="484"/>
      <c r="HH928" s="484"/>
      <c r="HI928" s="484"/>
      <c r="HJ928" s="484"/>
      <c r="HK928" s="484"/>
      <c r="HL928" s="484"/>
      <c r="HM928" s="484"/>
      <c r="HN928" s="484"/>
      <c r="HO928" s="484"/>
      <c r="HP928" s="484"/>
      <c r="HQ928" s="484"/>
      <c r="HR928" s="484"/>
      <c r="HS928" s="484"/>
      <c r="HT928" s="484"/>
      <c r="HU928" s="484"/>
      <c r="HV928" s="484"/>
      <c r="HW928" s="484"/>
      <c r="HX928" s="484"/>
      <c r="HY928" s="484"/>
      <c r="HZ928" s="484"/>
      <c r="IA928" s="484"/>
      <c r="IB928" s="484"/>
      <c r="IC928" s="484"/>
      <c r="ID928" s="484"/>
      <c r="IK928" s="10"/>
      <c r="JA928" s="10"/>
      <c r="JB928" s="10"/>
    </row>
    <row r="929" spans="1:262" s="533" customFormat="1" ht="15.6" customHeight="1">
      <c r="B929" s="533" t="s">
        <v>900</v>
      </c>
      <c r="D929" s="1587"/>
      <c r="F929" s="1573">
        <f>'Part VI-Revenues &amp; Expenses'!F186</f>
        <v>54648</v>
      </c>
      <c r="G929" s="1573"/>
      <c r="J929" s="1564"/>
      <c r="N929" s="1510" t="s">
        <v>3674</v>
      </c>
      <c r="O929" s="1169" t="str">
        <f>CONCATENATE(SUM(JM791:JQ791)," units x $",'DCA Underwriting Assumptions'!$Q$64," =")</f>
        <v>0 units x $420 =</v>
      </c>
      <c r="P929" s="1169">
        <f>SUM(JM791:JQ791)*'DCA Underwriting Assumptions'!$Q$64</f>
        <v>0</v>
      </c>
      <c r="Q929" s="1169"/>
      <c r="U929" s="1477"/>
      <c r="V929" s="1477"/>
      <c r="W929" s="531"/>
      <c r="X929" s="531"/>
      <c r="Y929" s="531"/>
      <c r="GT929" s="484"/>
      <c r="GY929" s="484"/>
      <c r="GZ929" s="484"/>
      <c r="HA929" s="484"/>
      <c r="HB929" s="484"/>
      <c r="HC929" s="484"/>
      <c r="HD929" s="484"/>
      <c r="HE929" s="484"/>
      <c r="HF929" s="484"/>
      <c r="HG929" s="484"/>
      <c r="HH929" s="484"/>
      <c r="HI929" s="484"/>
      <c r="HJ929" s="484"/>
      <c r="HK929" s="484"/>
      <c r="HL929" s="484"/>
      <c r="HM929" s="484"/>
      <c r="HN929" s="484"/>
      <c r="HO929" s="484"/>
      <c r="HP929" s="484"/>
      <c r="HQ929" s="484"/>
      <c r="HR929" s="484"/>
      <c r="HS929" s="484"/>
      <c r="HT929" s="484"/>
      <c r="HU929" s="484"/>
      <c r="HV929" s="484"/>
      <c r="HW929" s="484"/>
      <c r="HX929" s="484"/>
      <c r="HY929" s="484"/>
      <c r="HZ929" s="484"/>
      <c r="IA929" s="484"/>
      <c r="IB929" s="484"/>
      <c r="IC929" s="484"/>
      <c r="ID929" s="484"/>
      <c r="IK929" s="10"/>
      <c r="JA929" s="10"/>
      <c r="JB929" s="10"/>
    </row>
    <row r="930" spans="1:262" s="533" customFormat="1" ht="15.6" customHeight="1">
      <c r="B930" s="54" t="str">
        <f>'Part VI-Revenues &amp; Expenses'!B187</f>
        <v>Common Area Mainteance/Protection Tele</v>
      </c>
      <c r="C930" s="54"/>
      <c r="D930" s="54"/>
      <c r="E930" s="54"/>
      <c r="F930" s="1573">
        <f>'Part VI-Revenues &amp; Expenses'!F187</f>
        <v>24551</v>
      </c>
      <c r="G930" s="1573"/>
      <c r="J930" s="1564"/>
      <c r="N930" s="1510" t="s">
        <v>3669</v>
      </c>
      <c r="O930" s="1169" t="str">
        <f>CONCATENATE(O827," units x $",'DCA Underwriting Assumptions'!$Q$64," =")</f>
        <v>0 units x $420 =</v>
      </c>
      <c r="P930" s="1169">
        <f>O827*'DCA Underwriting Assumptions'!$Q$64</f>
        <v>0</v>
      </c>
      <c r="Q930" s="1169"/>
      <c r="U930" s="1477"/>
      <c r="V930" s="1477"/>
      <c r="W930" s="531"/>
      <c r="X930" s="531"/>
      <c r="Y930" s="531"/>
      <c r="GT930" s="484"/>
      <c r="GY930" s="484"/>
      <c r="GZ930" s="484"/>
      <c r="HA930" s="484"/>
      <c r="HB930" s="484"/>
      <c r="HC930" s="484"/>
      <c r="HD930" s="484"/>
      <c r="HE930" s="484"/>
      <c r="HF930" s="484"/>
      <c r="HG930" s="484"/>
      <c r="HH930" s="484"/>
      <c r="HI930" s="484"/>
      <c r="HJ930" s="484"/>
      <c r="HK930" s="484"/>
      <c r="HL930" s="484"/>
      <c r="HM930" s="484"/>
      <c r="HN930" s="484"/>
      <c r="HO930" s="484"/>
      <c r="HP930" s="484"/>
      <c r="HQ930" s="484"/>
      <c r="HR930" s="484"/>
      <c r="HS930" s="484"/>
      <c r="HT930" s="484"/>
      <c r="HU930" s="484"/>
      <c r="HV930" s="484"/>
      <c r="HW930" s="484"/>
      <c r="HX930" s="484"/>
      <c r="HY930" s="484"/>
      <c r="HZ930" s="484"/>
      <c r="IA930" s="484"/>
      <c r="IB930" s="484"/>
      <c r="IC930" s="484"/>
      <c r="ID930" s="484"/>
      <c r="IK930" s="10"/>
      <c r="JA930" s="10"/>
      <c r="JB930" s="10"/>
    </row>
    <row r="931" spans="1:262" s="533" customFormat="1" ht="15.6" customHeight="1">
      <c r="B931" s="10"/>
      <c r="C931" s="132" t="s">
        <v>197</v>
      </c>
      <c r="F931" s="1573">
        <f>SUM(F923:G930)</f>
        <v>164431</v>
      </c>
      <c r="G931" s="1573"/>
      <c r="J931" s="1564"/>
      <c r="N931" s="69" t="s">
        <v>2824</v>
      </c>
      <c r="O931" s="1169">
        <f>SUM(JC791:JG791)+SUM(JH791:JL791)+SUM(JM791:JQ791)+O827</f>
        <v>208</v>
      </c>
      <c r="P931" s="1169">
        <f>SUM(P927:P930)</f>
        <v>72800</v>
      </c>
      <c r="Q931" s="1169"/>
      <c r="U931" s="1477"/>
      <c r="V931" s="1477"/>
      <c r="W931" s="531"/>
      <c r="X931" s="531"/>
      <c r="Y931" s="531"/>
      <c r="GT931" s="484"/>
      <c r="GY931" s="484"/>
      <c r="GZ931" s="484"/>
      <c r="HA931" s="484"/>
      <c r="HB931" s="484"/>
      <c r="HC931" s="484"/>
      <c r="HD931" s="484"/>
      <c r="HE931" s="484"/>
      <c r="HF931" s="484"/>
      <c r="HG931" s="484"/>
      <c r="HH931" s="484"/>
      <c r="HI931" s="484"/>
      <c r="HJ931" s="484"/>
      <c r="HK931" s="484"/>
      <c r="HL931" s="484"/>
      <c r="HM931" s="484"/>
      <c r="HN931" s="484"/>
      <c r="HO931" s="484"/>
      <c r="HP931" s="484"/>
      <c r="HQ931" s="484"/>
      <c r="HR931" s="484"/>
      <c r="HS931" s="484"/>
      <c r="HT931" s="484"/>
      <c r="HU931" s="484"/>
      <c r="HV931" s="484"/>
      <c r="HW931" s="484"/>
      <c r="HX931" s="484"/>
      <c r="HY931" s="484"/>
      <c r="HZ931" s="484"/>
      <c r="IA931" s="484"/>
      <c r="IB931" s="484"/>
      <c r="IC931" s="484"/>
      <c r="ID931" s="484"/>
      <c r="IK931" s="10"/>
      <c r="JA931" s="10"/>
      <c r="JB931" s="10"/>
    </row>
    <row r="932" spans="1:262" s="533" customFormat="1" ht="6" customHeight="1">
      <c r="B932" s="10"/>
      <c r="C932" s="132"/>
      <c r="F932" s="1564"/>
      <c r="G932" s="1564"/>
      <c r="J932" s="1564"/>
      <c r="W932" s="531"/>
      <c r="X932" s="531"/>
      <c r="Y932" s="531"/>
      <c r="GT932" s="484"/>
      <c r="GY932" s="484"/>
      <c r="GZ932" s="484"/>
      <c r="HA932" s="484"/>
      <c r="HB932" s="484"/>
      <c r="HC932" s="484"/>
      <c r="HD932" s="484"/>
      <c r="HE932" s="484"/>
      <c r="HF932" s="484"/>
      <c r="HG932" s="484"/>
      <c r="HH932" s="484"/>
      <c r="HI932" s="484"/>
      <c r="HJ932" s="484"/>
      <c r="HK932" s="484"/>
      <c r="HL932" s="484"/>
      <c r="HM932" s="484"/>
      <c r="HN932" s="484"/>
      <c r="HO932" s="484"/>
      <c r="HP932" s="484"/>
      <c r="HQ932" s="484"/>
      <c r="HR932" s="484"/>
      <c r="HS932" s="484"/>
      <c r="HT932" s="484"/>
      <c r="HU932" s="484"/>
      <c r="HV932" s="484"/>
      <c r="HW932" s="484"/>
      <c r="HX932" s="484"/>
      <c r="HY932" s="484"/>
      <c r="HZ932" s="484"/>
      <c r="IA932" s="484"/>
      <c r="IB932" s="484"/>
      <c r="IC932" s="484"/>
      <c r="ID932" s="484"/>
      <c r="IK932" s="10"/>
      <c r="JA932" s="10"/>
      <c r="JB932" s="10"/>
    </row>
    <row r="933" spans="1:262" s="533" customFormat="1" ht="15.6" customHeight="1">
      <c r="B933" s="10"/>
      <c r="C933" s="132"/>
      <c r="F933" s="1564"/>
      <c r="G933" s="1564"/>
      <c r="J933" s="1564"/>
      <c r="N933" s="10" t="s">
        <v>2266</v>
      </c>
      <c r="P933" s="1582">
        <f>P919+P922</f>
        <v>1619026</v>
      </c>
      <c r="Q933" s="1582"/>
      <c r="W933" s="531"/>
      <c r="X933" s="531"/>
      <c r="Y933" s="531"/>
      <c r="GT933" s="484"/>
      <c r="GY933" s="484"/>
      <c r="GZ933" s="484"/>
      <c r="HA933" s="484"/>
      <c r="HB933" s="484"/>
      <c r="HC933" s="484"/>
      <c r="HD933" s="484"/>
      <c r="HE933" s="484"/>
      <c r="HF933" s="484"/>
      <c r="HG933" s="484"/>
      <c r="HH933" s="484"/>
      <c r="HI933" s="484"/>
      <c r="HJ933" s="484"/>
      <c r="HK933" s="484"/>
      <c r="HL933" s="484"/>
      <c r="HM933" s="484"/>
      <c r="HN933" s="484"/>
      <c r="HO933" s="484"/>
      <c r="HP933" s="484"/>
      <c r="HQ933" s="484"/>
      <c r="HR933" s="484"/>
      <c r="HS933" s="484"/>
      <c r="HT933" s="484"/>
      <c r="HU933" s="484"/>
      <c r="HV933" s="484"/>
      <c r="HW933" s="484"/>
      <c r="HX933" s="484"/>
      <c r="HY933" s="484"/>
      <c r="HZ933" s="484"/>
      <c r="IA933" s="484"/>
      <c r="IB933" s="484"/>
      <c r="IC933" s="484"/>
      <c r="ID933" s="484"/>
      <c r="IK933" s="10"/>
      <c r="JA933" s="10"/>
      <c r="JB933" s="10"/>
    </row>
    <row r="934" spans="1:262" ht="12" customHeight="1">
      <c r="A934" s="29" t="s">
        <v>1860</v>
      </c>
      <c r="B934" s="29" t="s">
        <v>593</v>
      </c>
      <c r="K934" s="29" t="s">
        <v>549</v>
      </c>
      <c r="L934" s="29" t="s">
        <v>1915</v>
      </c>
      <c r="GT934" s="615"/>
      <c r="GY934" s="615"/>
      <c r="GZ934" s="615"/>
      <c r="HA934" s="615"/>
      <c r="HB934" s="615"/>
      <c r="HC934" s="615"/>
      <c r="HD934" s="615"/>
      <c r="HE934" s="615"/>
      <c r="HF934" s="615"/>
      <c r="HG934" s="615"/>
      <c r="HH934" s="615"/>
      <c r="HI934" s="615"/>
      <c r="HJ934" s="615"/>
      <c r="HK934" s="615"/>
      <c r="HL934" s="615"/>
      <c r="HM934" s="615"/>
      <c r="HN934" s="615"/>
      <c r="HO934" s="615"/>
      <c r="HP934" s="615"/>
      <c r="HQ934" s="615"/>
      <c r="HR934" s="615"/>
      <c r="HS934" s="615"/>
      <c r="HT934" s="615"/>
      <c r="HU934" s="615"/>
      <c r="HV934" s="615"/>
      <c r="HW934" s="615"/>
      <c r="HX934" s="615"/>
      <c r="HY934" s="615"/>
      <c r="HZ934" s="615"/>
      <c r="IA934" s="615"/>
      <c r="IB934" s="615"/>
      <c r="IC934" s="615"/>
      <c r="ID934" s="615"/>
      <c r="IK934" s="29"/>
      <c r="JA934" s="29"/>
      <c r="JB934" s="29"/>
    </row>
    <row r="935" spans="1:262" ht="145.5" customHeight="1">
      <c r="A935" s="1452" t="str">
        <f>'Part VI-Revenues &amp; Expenses'!A192</f>
        <v>*To all Applicants: Real estate taxes shown in Operating Budget should be prior to any tax abatement.  The applicant has included a detailed property  tax estimate in Tab 1.  The property was previously exempt from taxes; consequently, previous tax bills (reflecting an accurate assessment) were not avaiable. 
**To all Applicants: Please provide methodology for insurance calculation. An insurance quote is included in Tab 1. 
The PBRA commitment states one of the conditions of the renewal rents is a current appraisal. The appraisal is also included in Tab 1.</v>
      </c>
      <c r="B935" s="1452"/>
      <c r="C935" s="1452"/>
      <c r="D935" s="1452"/>
      <c r="E935" s="1452"/>
      <c r="F935" s="1452"/>
      <c r="G935" s="1452"/>
      <c r="H935" s="1452"/>
      <c r="I935" s="1452"/>
      <c r="J935" s="1452"/>
      <c r="K935" s="1452">
        <f>'Part VI-Revenues &amp; Expenses'!K192</f>
        <v>0</v>
      </c>
      <c r="L935" s="1452"/>
      <c r="M935" s="1452"/>
      <c r="N935" s="1452"/>
      <c r="O935" s="1452"/>
      <c r="P935" s="1452"/>
      <c r="Q935" s="1592"/>
      <c r="U935" s="1516" t="s">
        <v>2796</v>
      </c>
      <c r="V935" s="1516"/>
      <c r="GT935" s="615"/>
      <c r="GY935" s="615"/>
      <c r="GZ935" s="615"/>
      <c r="HA935" s="615"/>
      <c r="HB935" s="615"/>
      <c r="HC935" s="615"/>
      <c r="HD935" s="615"/>
      <c r="HE935" s="615"/>
      <c r="HF935" s="615"/>
      <c r="HG935" s="615"/>
      <c r="HH935" s="615"/>
      <c r="HI935" s="615"/>
      <c r="HJ935" s="615"/>
      <c r="HK935" s="615"/>
      <c r="HL935" s="615"/>
      <c r="HM935" s="615"/>
      <c r="HN935" s="615"/>
      <c r="HO935" s="615"/>
      <c r="HP935" s="615"/>
      <c r="HQ935" s="615"/>
      <c r="HR935" s="615"/>
      <c r="HS935" s="615"/>
      <c r="HT935" s="615"/>
      <c r="HU935" s="615"/>
      <c r="HV935" s="615"/>
      <c r="HW935" s="615"/>
      <c r="HX935" s="615"/>
      <c r="HY935" s="615"/>
      <c r="HZ935" s="615"/>
      <c r="IA935" s="615"/>
      <c r="IB935" s="615"/>
      <c r="IC935" s="615"/>
      <c r="ID935" s="615"/>
      <c r="IK935" s="29"/>
      <c r="JA935" s="29"/>
      <c r="JB935" s="29"/>
    </row>
    <row r="942" spans="1:262">
      <c r="A942" s="10" t="str">
        <f>CONCATENATE("DRAFT PART SEVEN - OPERATING PRO FORMA","  -  ",'Part I-Project Information'!$O$4," ",'Part I-Project Information'!$F$24,", ",'Part I-Project Information'!F887,", ",'Part I-Project Information'!J888," County")</f>
        <v>DRAFT PART SEVEN - OPERATING PRO FORMA  -  2016-524 Wheat Street Tower, ,  County</v>
      </c>
      <c r="B942" s="1530"/>
      <c r="C942" s="1530"/>
      <c r="D942" s="1530"/>
      <c r="E942" s="1530"/>
      <c r="F942" s="1530"/>
      <c r="G942" s="1530"/>
      <c r="H942" s="1530"/>
      <c r="I942" s="1530"/>
      <c r="J942" s="1530"/>
      <c r="K942" s="1530"/>
      <c r="L942" s="10"/>
      <c r="M942" s="10" t="str">
        <f>A942</f>
        <v>DRAFT PART SEVEN - OPERATING PRO FORMA  -  2016-524 Wheat Street Tower, ,  County</v>
      </c>
      <c r="N942" s="10"/>
    </row>
    <row r="943" spans="1:262">
      <c r="A943" s="1532"/>
      <c r="B943" s="1532"/>
      <c r="C943" s="1532"/>
      <c r="D943" s="1532"/>
      <c r="E943" s="1532"/>
      <c r="F943" s="1532"/>
      <c r="G943" s="1532"/>
      <c r="H943" s="1532"/>
      <c r="I943" s="1532"/>
      <c r="J943" s="1532"/>
      <c r="K943" s="1532"/>
      <c r="M943" s="1532" t="s">
        <v>1915</v>
      </c>
      <c r="N943" s="1532"/>
    </row>
    <row r="944" spans="1:262" ht="13.5">
      <c r="A944" s="29" t="s">
        <v>92</v>
      </c>
      <c r="D944" s="29" t="s">
        <v>82</v>
      </c>
      <c r="E944" s="1190"/>
      <c r="F944" s="298" t="s">
        <v>1082</v>
      </c>
      <c r="M944" s="29" t="str">
        <f>A944</f>
        <v>I.  OPERATING ASSUMPTIONS</v>
      </c>
      <c r="N944" s="1532"/>
    </row>
    <row r="946" spans="1:14" ht="12.75" customHeight="1">
      <c r="A946" s="531" t="s">
        <v>2267</v>
      </c>
      <c r="B946" s="1593">
        <v>0.02</v>
      </c>
      <c r="D946" s="1477" t="s">
        <v>3748</v>
      </c>
      <c r="E946" s="1477"/>
      <c r="F946" s="1477"/>
      <c r="G946" s="1594">
        <f>'Part VII-Pro Forma'!G5</f>
        <v>18750</v>
      </c>
      <c r="H946" s="1569" t="s">
        <v>1981</v>
      </c>
      <c r="K946" s="1595" t="str">
        <f>IF(($B$14+$B$15+$B$16+$B$17)=0,"",B969/($B$14+$B$15+$B$16+$B$17))</f>
        <v/>
      </c>
      <c r="M946" s="1477">
        <f>'Part VII-Pro Forma'!M5</f>
        <v>0</v>
      </c>
      <c r="N946" s="1477"/>
    </row>
    <row r="947" spans="1:14">
      <c r="A947" s="531" t="s">
        <v>2268</v>
      </c>
      <c r="B947" s="1593">
        <v>0.03</v>
      </c>
      <c r="D947" s="1477"/>
      <c r="E947" s="1477"/>
      <c r="F947" s="1477"/>
      <c r="M947" s="1477"/>
      <c r="N947" s="1477"/>
    </row>
    <row r="948" spans="1:14">
      <c r="A948" s="531" t="s">
        <v>2270</v>
      </c>
      <c r="B948" s="1593">
        <v>0.03</v>
      </c>
      <c r="D948" s="533" t="s">
        <v>282</v>
      </c>
      <c r="G948" s="1596"/>
      <c r="H948" s="1569" t="s">
        <v>2459</v>
      </c>
      <c r="K948" s="1595" t="str">
        <f>IF(($B$14+$B$15+$B$16+$B$17)=0,"",-B961/($B$14+$B$15+$B$16+$B$17))</f>
        <v/>
      </c>
      <c r="M948" s="1477"/>
      <c r="N948" s="1477"/>
    </row>
    <row r="949" spans="1:14">
      <c r="A949" s="531" t="s">
        <v>2269</v>
      </c>
      <c r="B949" s="1593">
        <f>'Part VII-Pro Forma'!B8</f>
        <v>7.0000000000000007E-2</v>
      </c>
      <c r="D949" s="533" t="s">
        <v>2595</v>
      </c>
      <c r="G949" s="1597">
        <f>'Part VII-Pro Forma'!G8</f>
        <v>0</v>
      </c>
      <c r="H949" s="1598" t="s">
        <v>1500</v>
      </c>
      <c r="K949" s="1599">
        <f>'Part VII-Pro Forma'!K8</f>
        <v>0</v>
      </c>
      <c r="M949" s="1477"/>
      <c r="N949" s="1477"/>
    </row>
    <row r="950" spans="1:14">
      <c r="A950" s="531" t="s">
        <v>1472</v>
      </c>
      <c r="B950" s="1593">
        <v>0.02</v>
      </c>
      <c r="D950" s="533" t="s">
        <v>1784</v>
      </c>
      <c r="G950" s="1597" t="str">
        <f>'Part VII-Pro Forma'!G9</f>
        <v>Yes</v>
      </c>
      <c r="H950" s="1598" t="s">
        <v>2439</v>
      </c>
      <c r="K950" s="1600">
        <f>'Part VII-Pro Forma'!K9</f>
        <v>0.06</v>
      </c>
      <c r="M950" s="1477"/>
      <c r="N950" s="1477"/>
    </row>
    <row r="952" spans="1:14">
      <c r="A952" s="29" t="s">
        <v>93</v>
      </c>
      <c r="M952" s="29" t="str">
        <f>A952</f>
        <v>II.  OPERATING PRO FORMA</v>
      </c>
    </row>
    <row r="954" spans="1:14">
      <c r="A954" s="29" t="s">
        <v>2566</v>
      </c>
      <c r="B954" s="29">
        <v>1</v>
      </c>
      <c r="C954" s="29">
        <f t="shared" ref="C954:K954" si="278">B954+1</f>
        <v>2</v>
      </c>
      <c r="D954" s="29">
        <f t="shared" si="278"/>
        <v>3</v>
      </c>
      <c r="E954" s="29">
        <f t="shared" si="278"/>
        <v>4</v>
      </c>
      <c r="F954" s="29">
        <f t="shared" si="278"/>
        <v>5</v>
      </c>
      <c r="G954" s="29">
        <f t="shared" si="278"/>
        <v>6</v>
      </c>
      <c r="H954" s="29">
        <f t="shared" si="278"/>
        <v>7</v>
      </c>
      <c r="I954" s="29">
        <f t="shared" si="278"/>
        <v>8</v>
      </c>
      <c r="J954" s="29">
        <f t="shared" si="278"/>
        <v>9</v>
      </c>
      <c r="K954" s="29">
        <f t="shared" si="278"/>
        <v>10</v>
      </c>
      <c r="M954" s="1532" t="s">
        <v>2712</v>
      </c>
      <c r="N954" s="1532"/>
    </row>
    <row r="955" spans="1:14">
      <c r="A955" s="531" t="s">
        <v>2489</v>
      </c>
      <c r="B955" s="1601">
        <f>'Part VII-Pro Forma'!B14</f>
        <v>2491500</v>
      </c>
      <c r="C955" s="1601">
        <f>'Part VII-Pro Forma'!C14</f>
        <v>2541330</v>
      </c>
      <c r="D955" s="1601">
        <f>'Part VII-Pro Forma'!D14</f>
        <v>2592156.6</v>
      </c>
      <c r="E955" s="1601">
        <f>'Part VII-Pro Forma'!E14</f>
        <v>2643999.7319999998</v>
      </c>
      <c r="F955" s="1601">
        <f>'Part VII-Pro Forma'!F14</f>
        <v>2696879.72664</v>
      </c>
      <c r="G955" s="1601">
        <f>'Part VII-Pro Forma'!G14</f>
        <v>2750817.3211727999</v>
      </c>
      <c r="H955" s="1601">
        <f>'Part VII-Pro Forma'!H14</f>
        <v>2805833.6675962564</v>
      </c>
      <c r="I955" s="1601">
        <f>'Part VII-Pro Forma'!I14</f>
        <v>2861950.3409481808</v>
      </c>
      <c r="J955" s="1601">
        <f>'Part VII-Pro Forma'!J14</f>
        <v>2919189.3477671444</v>
      </c>
      <c r="K955" s="1601">
        <f>'Part VII-Pro Forma'!K14</f>
        <v>2977573.1347224875</v>
      </c>
      <c r="M955" s="1477">
        <f>'Part VII-Pro Forma'!M14</f>
        <v>0</v>
      </c>
      <c r="N955" s="1477"/>
    </row>
    <row r="956" spans="1:14">
      <c r="A956" s="531" t="s">
        <v>1053</v>
      </c>
      <c r="B956" s="1601">
        <f>'Part VII-Pro Forma'!B15</f>
        <v>49830</v>
      </c>
      <c r="C956" s="1601">
        <f>'Part VII-Pro Forma'!C15</f>
        <v>50826.6</v>
      </c>
      <c r="D956" s="1601">
        <f>'Part VII-Pro Forma'!D15</f>
        <v>51843.131999999998</v>
      </c>
      <c r="E956" s="1601">
        <f>'Part VII-Pro Forma'!E15</f>
        <v>52879.994639999997</v>
      </c>
      <c r="F956" s="1601">
        <f>'Part VII-Pro Forma'!F15</f>
        <v>53937.594532800002</v>
      </c>
      <c r="G956" s="1601">
        <f>'Part VII-Pro Forma'!G15</f>
        <v>55016.346423456002</v>
      </c>
      <c r="H956" s="1601">
        <f>'Part VII-Pro Forma'!H15</f>
        <v>56116.673351925121</v>
      </c>
      <c r="I956" s="1601">
        <f>'Part VII-Pro Forma'!I15</f>
        <v>57239.006818963615</v>
      </c>
      <c r="J956" s="1601">
        <f>'Part VII-Pro Forma'!J15</f>
        <v>58383.78695534289</v>
      </c>
      <c r="K956" s="1601">
        <f>'Part VII-Pro Forma'!K15</f>
        <v>59551.46269444975</v>
      </c>
      <c r="M956" s="1477"/>
      <c r="N956" s="1477"/>
    </row>
    <row r="957" spans="1:14">
      <c r="A957" s="531" t="s">
        <v>2490</v>
      </c>
      <c r="B957" s="1601">
        <f>'Part VII-Pro Forma'!B16</f>
        <v>-177893.1</v>
      </c>
      <c r="C957" s="1601">
        <f>'Part VII-Pro Forma'!C16</f>
        <v>-181450.96200000003</v>
      </c>
      <c r="D957" s="1601">
        <f>'Part VII-Pro Forma'!D16</f>
        <v>-185079.98124000005</v>
      </c>
      <c r="E957" s="1601">
        <f>'Part VII-Pro Forma'!E16</f>
        <v>-188781.58086480002</v>
      </c>
      <c r="F957" s="1601">
        <f>'Part VII-Pro Forma'!F16</f>
        <v>-192557.21248209602</v>
      </c>
      <c r="G957" s="1601">
        <f>'Part VII-Pro Forma'!G16</f>
        <v>-196408.35673173793</v>
      </c>
      <c r="H957" s="1601">
        <f>'Part VII-Pro Forma'!H16</f>
        <v>-200336.52386637274</v>
      </c>
      <c r="I957" s="1601">
        <f>'Part VII-Pro Forma'!I16</f>
        <v>-204343.25434370013</v>
      </c>
      <c r="J957" s="1601">
        <f>'Part VII-Pro Forma'!J16</f>
        <v>-208430.11943057415</v>
      </c>
      <c r="K957" s="1601">
        <f>'Part VII-Pro Forma'!K16</f>
        <v>-212598.72181918562</v>
      </c>
      <c r="M957" s="1477"/>
      <c r="N957" s="1477"/>
    </row>
    <row r="958" spans="1:14">
      <c r="A958" s="531" t="s">
        <v>54</v>
      </c>
      <c r="B958" s="1601">
        <f>'Part VII-Pro Forma'!B17</f>
        <v>0</v>
      </c>
      <c r="C958" s="1601">
        <f>'Part VII-Pro Forma'!C17</f>
        <v>0</v>
      </c>
      <c r="D958" s="1601">
        <f>'Part VII-Pro Forma'!D17</f>
        <v>0</v>
      </c>
      <c r="E958" s="1601">
        <f>'Part VII-Pro Forma'!E17</f>
        <v>0</v>
      </c>
      <c r="F958" s="1601">
        <f>'Part VII-Pro Forma'!F17</f>
        <v>0</v>
      </c>
      <c r="G958" s="1601">
        <f>'Part VII-Pro Forma'!G17</f>
        <v>0</v>
      </c>
      <c r="H958" s="1601">
        <f>'Part VII-Pro Forma'!H17</f>
        <v>0</v>
      </c>
      <c r="I958" s="1601">
        <f>'Part VII-Pro Forma'!I17</f>
        <v>0</v>
      </c>
      <c r="J958" s="1601">
        <f>'Part VII-Pro Forma'!J17</f>
        <v>0</v>
      </c>
      <c r="K958" s="1601">
        <f>'Part VII-Pro Forma'!K17</f>
        <v>0</v>
      </c>
      <c r="M958" s="1477"/>
      <c r="N958" s="1477"/>
    </row>
    <row r="959" spans="1:14">
      <c r="A959" s="531" t="s">
        <v>55</v>
      </c>
      <c r="B959" s="1601">
        <f>'Part VII-Pro Forma'!B18</f>
        <v>0</v>
      </c>
      <c r="C959" s="1601">
        <f>'Part VII-Pro Forma'!C18</f>
        <v>0</v>
      </c>
      <c r="D959" s="1601">
        <f>'Part VII-Pro Forma'!D18</f>
        <v>0</v>
      </c>
      <c r="E959" s="1601">
        <f>'Part VII-Pro Forma'!E18</f>
        <v>0</v>
      </c>
      <c r="F959" s="1601">
        <f>'Part VII-Pro Forma'!F18</f>
        <v>0</v>
      </c>
      <c r="G959" s="1601">
        <f>'Part VII-Pro Forma'!G18</f>
        <v>0</v>
      </c>
      <c r="H959" s="1601">
        <f>'Part VII-Pro Forma'!H18</f>
        <v>0</v>
      </c>
      <c r="I959" s="1601">
        <f>'Part VII-Pro Forma'!I18</f>
        <v>0</v>
      </c>
      <c r="J959" s="1601">
        <f>'Part VII-Pro Forma'!J18</f>
        <v>0</v>
      </c>
      <c r="K959" s="1601">
        <f>'Part VII-Pro Forma'!K18</f>
        <v>0</v>
      </c>
      <c r="M959" s="1477"/>
      <c r="N959" s="1477"/>
    </row>
    <row r="960" spans="1:14">
      <c r="A960" s="531" t="s">
        <v>638</v>
      </c>
      <c r="B960" s="1601">
        <f>'Part VII-Pro Forma'!B19</f>
        <v>-1404420</v>
      </c>
      <c r="C960" s="1601">
        <f>'Part VII-Pro Forma'!C19</f>
        <v>-1446552.6</v>
      </c>
      <c r="D960" s="1601">
        <f>'Part VII-Pro Forma'!D19</f>
        <v>-1489949.1779999998</v>
      </c>
      <c r="E960" s="1601">
        <f>'Part VII-Pro Forma'!E19</f>
        <v>-1534647.65334</v>
      </c>
      <c r="F960" s="1601">
        <f>'Part VII-Pro Forma'!F19</f>
        <v>-1580687.0829401999</v>
      </c>
      <c r="G960" s="1601">
        <f>'Part VII-Pro Forma'!G19</f>
        <v>-1628107.6954284059</v>
      </c>
      <c r="H960" s="1601">
        <f>'Part VII-Pro Forma'!H19</f>
        <v>-1676950.9262912581</v>
      </c>
      <c r="I960" s="1601">
        <f>'Part VII-Pro Forma'!I19</f>
        <v>-1727259.4540799959</v>
      </c>
      <c r="J960" s="1601">
        <f>'Part VII-Pro Forma'!J19</f>
        <v>-1779077.2377023955</v>
      </c>
      <c r="K960" s="1601">
        <f>'Part VII-Pro Forma'!K19</f>
        <v>-1832449.5548334676</v>
      </c>
      <c r="M960" s="1477"/>
      <c r="N960" s="1477"/>
    </row>
    <row r="961" spans="1:14">
      <c r="A961" s="531" t="s">
        <v>1153</v>
      </c>
      <c r="B961" s="1601">
        <f>'Part VII-Pro Forma'!B20</f>
        <v>-141806</v>
      </c>
      <c r="C961" s="1601">
        <f>'Part VII-Pro Forma'!C20</f>
        <v>-144642</v>
      </c>
      <c r="D961" s="1601">
        <f>'Part VII-Pro Forma'!D20</f>
        <v>-147535</v>
      </c>
      <c r="E961" s="1601">
        <f>'Part VII-Pro Forma'!E20</f>
        <v>-150486</v>
      </c>
      <c r="F961" s="1601">
        <f>'Part VII-Pro Forma'!F20</f>
        <v>-153496</v>
      </c>
      <c r="G961" s="1601">
        <f>'Part VII-Pro Forma'!G20</f>
        <v>-156566</v>
      </c>
      <c r="H961" s="1601">
        <f>'Part VII-Pro Forma'!H20</f>
        <v>-159697</v>
      </c>
      <c r="I961" s="1601">
        <f>'Part VII-Pro Forma'!I20</f>
        <v>-162891</v>
      </c>
      <c r="J961" s="1601">
        <f>'Part VII-Pro Forma'!J20</f>
        <v>-166149</v>
      </c>
      <c r="K961" s="1601">
        <f>'Part VII-Pro Forma'!K20</f>
        <v>-169472</v>
      </c>
      <c r="M961" s="1477"/>
      <c r="N961" s="1477"/>
    </row>
    <row r="962" spans="1:14">
      <c r="A962" s="531" t="s">
        <v>1247</v>
      </c>
      <c r="B962" s="1601">
        <f>'Part VII-Pro Forma'!B21</f>
        <v>-72800</v>
      </c>
      <c r="C962" s="1601">
        <f>'Part VII-Pro Forma'!C21</f>
        <v>-74984</v>
      </c>
      <c r="D962" s="1601">
        <f>'Part VII-Pro Forma'!D21</f>
        <v>-77233.51999999999</v>
      </c>
      <c r="E962" s="1601">
        <f>'Part VII-Pro Forma'!E21</f>
        <v>-79550.525599999994</v>
      </c>
      <c r="F962" s="1601">
        <f>'Part VII-Pro Forma'!F21</f>
        <v>-81937.041367999991</v>
      </c>
      <c r="G962" s="1601">
        <f>'Part VII-Pro Forma'!G21</f>
        <v>-84395.152609039986</v>
      </c>
      <c r="H962" s="1601">
        <f>'Part VII-Pro Forma'!H21</f>
        <v>-86927.007187311188</v>
      </c>
      <c r="I962" s="1601">
        <f>'Part VII-Pro Forma'!I21</f>
        <v>-89534.817402930537</v>
      </c>
      <c r="J962" s="1601">
        <f>'Part VII-Pro Forma'!J21</f>
        <v>-92220.861925018442</v>
      </c>
      <c r="K962" s="1601">
        <f>'Part VII-Pro Forma'!K21</f>
        <v>-94987.487782768992</v>
      </c>
      <c r="M962" s="1477"/>
      <c r="N962" s="1477"/>
    </row>
    <row r="963" spans="1:14">
      <c r="A963" s="531" t="s">
        <v>1248</v>
      </c>
      <c r="B963" s="1601">
        <f>'Part VII-Pro Forma'!B22</f>
        <v>744410.89999999991</v>
      </c>
      <c r="C963" s="1601">
        <f>'Part VII-Pro Forma'!C22</f>
        <v>744527.03800000018</v>
      </c>
      <c r="D963" s="1601">
        <f>'Part VII-Pro Forma'!D22</f>
        <v>744202.05276000034</v>
      </c>
      <c r="E963" s="1601">
        <f>'Part VII-Pro Forma'!E22</f>
        <v>743413.96683519986</v>
      </c>
      <c r="F963" s="1601">
        <f>'Part VII-Pro Forma'!F22</f>
        <v>742139.9843825039</v>
      </c>
      <c r="G963" s="1601">
        <f>'Part VII-Pro Forma'!G22</f>
        <v>740356.46282707201</v>
      </c>
      <c r="H963" s="1601">
        <f>'Part VII-Pro Forma'!H22</f>
        <v>738038.88360323978</v>
      </c>
      <c r="I963" s="1601">
        <f>'Part VII-Pro Forma'!I22</f>
        <v>735160.82194051787</v>
      </c>
      <c r="J963" s="1601">
        <f>'Part VII-Pro Forma'!J22</f>
        <v>731695.91566449939</v>
      </c>
      <c r="K963" s="1601">
        <f>'Part VII-Pro Forma'!K22</f>
        <v>727616.83298151509</v>
      </c>
      <c r="M963" s="1477"/>
      <c r="N963" s="1477"/>
    </row>
    <row r="964" spans="1:14">
      <c r="A964" s="531" t="s">
        <v>1648</v>
      </c>
      <c r="B964" s="1601">
        <f>'Part VII-Pro Forma'!B23</f>
        <v>-576755.08777726337</v>
      </c>
      <c r="C964" s="1601">
        <f>'Part VII-Pro Forma'!C23</f>
        <v>-576755.08777726337</v>
      </c>
      <c r="D964" s="1601">
        <f>'Part VII-Pro Forma'!D23</f>
        <v>-576755.08777726337</v>
      </c>
      <c r="E964" s="1601">
        <f>'Part VII-Pro Forma'!E23</f>
        <v>-576755.08777726337</v>
      </c>
      <c r="F964" s="1601">
        <f>'Part VII-Pro Forma'!F23</f>
        <v>-576755.08777726337</v>
      </c>
      <c r="G964" s="1601">
        <f>'Part VII-Pro Forma'!G23</f>
        <v>-576755.08777726337</v>
      </c>
      <c r="H964" s="1601">
        <f>'Part VII-Pro Forma'!H23</f>
        <v>-576755.08777726337</v>
      </c>
      <c r="I964" s="1601">
        <f>'Part VII-Pro Forma'!I23</f>
        <v>-576755.08777726337</v>
      </c>
      <c r="J964" s="1601">
        <f>'Part VII-Pro Forma'!J23</f>
        <v>-576755.08777726337</v>
      </c>
      <c r="K964" s="1601">
        <f>'Part VII-Pro Forma'!K23</f>
        <v>-576755.08777726337</v>
      </c>
      <c r="M964" s="1477"/>
      <c r="N964" s="1477"/>
    </row>
    <row r="965" spans="1:14">
      <c r="A965" s="531" t="s">
        <v>1649</v>
      </c>
      <c r="B965" s="1601">
        <f>'Part VII-Pro Forma'!B24</f>
        <v>0</v>
      </c>
      <c r="C965" s="1601">
        <f>'Part VII-Pro Forma'!C24</f>
        <v>0</v>
      </c>
      <c r="D965" s="1601">
        <f>'Part VII-Pro Forma'!D24</f>
        <v>0</v>
      </c>
      <c r="E965" s="1601">
        <f>'Part VII-Pro Forma'!E24</f>
        <v>0</v>
      </c>
      <c r="F965" s="1601">
        <f>'Part VII-Pro Forma'!F24</f>
        <v>0</v>
      </c>
      <c r="G965" s="1601">
        <f>'Part VII-Pro Forma'!G24</f>
        <v>0</v>
      </c>
      <c r="H965" s="1601">
        <f>'Part VII-Pro Forma'!H24</f>
        <v>0</v>
      </c>
      <c r="I965" s="1601">
        <f>'Part VII-Pro Forma'!I24</f>
        <v>0</v>
      </c>
      <c r="J965" s="1601">
        <f>'Part VII-Pro Forma'!J24</f>
        <v>0</v>
      </c>
      <c r="K965" s="1601">
        <f>'Part VII-Pro Forma'!K24</f>
        <v>0</v>
      </c>
      <c r="M965" s="1477"/>
      <c r="N965" s="1477"/>
    </row>
    <row r="966" spans="1:14">
      <c r="A966" s="531" t="s">
        <v>1650</v>
      </c>
      <c r="B966" s="1601">
        <f>'Part VII-Pro Forma'!B25</f>
        <v>0</v>
      </c>
      <c r="C966" s="1601">
        <f>'Part VII-Pro Forma'!C25</f>
        <v>0</v>
      </c>
      <c r="D966" s="1601">
        <f>'Part VII-Pro Forma'!D25</f>
        <v>0</v>
      </c>
      <c r="E966" s="1601">
        <f>'Part VII-Pro Forma'!E25</f>
        <v>0</v>
      </c>
      <c r="F966" s="1601">
        <f>'Part VII-Pro Forma'!F25</f>
        <v>0</v>
      </c>
      <c r="G966" s="1601">
        <f>'Part VII-Pro Forma'!G25</f>
        <v>0</v>
      </c>
      <c r="H966" s="1601">
        <f>'Part VII-Pro Forma'!H25</f>
        <v>0</v>
      </c>
      <c r="I966" s="1601">
        <f>'Part VII-Pro Forma'!I25</f>
        <v>0</v>
      </c>
      <c r="J966" s="1601">
        <f>'Part VII-Pro Forma'!J25</f>
        <v>0</v>
      </c>
      <c r="K966" s="1601">
        <f>'Part VII-Pro Forma'!K25</f>
        <v>0</v>
      </c>
      <c r="M966" s="1477"/>
      <c r="N966" s="1477"/>
    </row>
    <row r="967" spans="1:14">
      <c r="A967" s="531" t="s">
        <v>814</v>
      </c>
      <c r="B967" s="1601">
        <f>'Part VII-Pro Forma'!B26</f>
        <v>0</v>
      </c>
      <c r="C967" s="1601">
        <f>'Part VII-Pro Forma'!C26</f>
        <v>0</v>
      </c>
      <c r="D967" s="1601">
        <f>'Part VII-Pro Forma'!D26</f>
        <v>0</v>
      </c>
      <c r="E967" s="1601">
        <f>'Part VII-Pro Forma'!E26</f>
        <v>0</v>
      </c>
      <c r="F967" s="1601">
        <f>'Part VII-Pro Forma'!F26</f>
        <v>0</v>
      </c>
      <c r="G967" s="1601">
        <f>'Part VII-Pro Forma'!G26</f>
        <v>0</v>
      </c>
      <c r="H967" s="1601">
        <f>'Part VII-Pro Forma'!H26</f>
        <v>0</v>
      </c>
      <c r="I967" s="1601">
        <f>'Part VII-Pro Forma'!I26</f>
        <v>0</v>
      </c>
      <c r="J967" s="1601">
        <f>'Part VII-Pro Forma'!J26</f>
        <v>0</v>
      </c>
      <c r="K967" s="1601">
        <f>'Part VII-Pro Forma'!K26</f>
        <v>0</v>
      </c>
      <c r="M967" s="1477"/>
      <c r="N967" s="1477"/>
    </row>
    <row r="968" spans="1:14">
      <c r="A968" s="531" t="s">
        <v>794</v>
      </c>
      <c r="B968" s="1601">
        <f>'Part VII-Pro Forma'!B27</f>
        <v>0</v>
      </c>
      <c r="C968" s="1601">
        <f>'Part VII-Pro Forma'!C27</f>
        <v>0</v>
      </c>
      <c r="D968" s="1601">
        <f>'Part VII-Pro Forma'!D27</f>
        <v>0</v>
      </c>
      <c r="E968" s="1601">
        <f>'Part VII-Pro Forma'!E27</f>
        <v>0</v>
      </c>
      <c r="F968" s="1601">
        <f>'Part VII-Pro Forma'!F27</f>
        <v>0</v>
      </c>
      <c r="G968" s="1601">
        <f>'Part VII-Pro Forma'!G27</f>
        <v>0</v>
      </c>
      <c r="H968" s="1601">
        <f>'Part VII-Pro Forma'!H27</f>
        <v>0</v>
      </c>
      <c r="I968" s="1601">
        <f>'Part VII-Pro Forma'!I27</f>
        <v>0</v>
      </c>
      <c r="J968" s="1601">
        <f>'Part VII-Pro Forma'!J27</f>
        <v>0</v>
      </c>
      <c r="K968" s="1601">
        <f>'Part VII-Pro Forma'!K27</f>
        <v>0</v>
      </c>
      <c r="M968" s="1477"/>
      <c r="N968" s="1477"/>
    </row>
    <row r="969" spans="1:14">
      <c r="A969" s="531" t="s">
        <v>1206</v>
      </c>
      <c r="B969" s="1601">
        <f>'Part VII-Pro Forma'!B28</f>
        <v>-18750</v>
      </c>
      <c r="C969" s="1601">
        <f>'Part VII-Pro Forma'!C28</f>
        <v>-18750</v>
      </c>
      <c r="D969" s="1601">
        <f>'Part VII-Pro Forma'!D28</f>
        <v>-18750</v>
      </c>
      <c r="E969" s="1601">
        <f>'Part VII-Pro Forma'!E28</f>
        <v>-18750</v>
      </c>
      <c r="F969" s="1601">
        <f>'Part VII-Pro Forma'!F28</f>
        <v>-18750</v>
      </c>
      <c r="G969" s="1601">
        <f>'Part VII-Pro Forma'!G28</f>
        <v>-18750</v>
      </c>
      <c r="H969" s="1601">
        <f>'Part VII-Pro Forma'!H28</f>
        <v>-18750</v>
      </c>
      <c r="I969" s="1601">
        <f>'Part VII-Pro Forma'!I28</f>
        <v>-18750</v>
      </c>
      <c r="J969" s="1601">
        <f>'Part VII-Pro Forma'!J28</f>
        <v>-18750</v>
      </c>
      <c r="K969" s="1601">
        <f>'Part VII-Pro Forma'!K28</f>
        <v>-18750</v>
      </c>
      <c r="M969" s="1477"/>
      <c r="N969" s="1477"/>
    </row>
    <row r="970" spans="1:14">
      <c r="A970" s="531" t="s">
        <v>1249</v>
      </c>
      <c r="B970" s="1601">
        <f>'Part VII-Pro Forma'!B29</f>
        <v>0</v>
      </c>
      <c r="C970" s="1601">
        <f>'Part VII-Pro Forma'!C29</f>
        <v>0</v>
      </c>
      <c r="D970" s="1601">
        <f>'Part VII-Pro Forma'!D29</f>
        <v>0</v>
      </c>
      <c r="E970" s="1601">
        <f>'Part VII-Pro Forma'!E29</f>
        <v>0</v>
      </c>
      <c r="F970" s="1601">
        <f>'Part VII-Pro Forma'!F29</f>
        <v>0</v>
      </c>
      <c r="G970" s="1601">
        <f>'Part VII-Pro Forma'!G29</f>
        <v>0</v>
      </c>
      <c r="H970" s="1601">
        <f>'Part VII-Pro Forma'!H29</f>
        <v>0</v>
      </c>
      <c r="I970" s="1601">
        <f>'Part VII-Pro Forma'!I29</f>
        <v>0</v>
      </c>
      <c r="J970" s="1601">
        <f>'Part VII-Pro Forma'!J29</f>
        <v>0</v>
      </c>
      <c r="K970" s="1601">
        <f>'Part VII-Pro Forma'!K29</f>
        <v>0</v>
      </c>
      <c r="M970" s="1477"/>
      <c r="N970" s="1477"/>
    </row>
    <row r="971" spans="1:14">
      <c r="A971" s="531" t="s">
        <v>1207</v>
      </c>
      <c r="B971" s="1601">
        <f>'Part VII-Pro Forma'!B30</f>
        <v>148905.81222273654</v>
      </c>
      <c r="C971" s="1601">
        <f>'Part VII-Pro Forma'!C30</f>
        <v>149021.95022273681</v>
      </c>
      <c r="D971" s="1601">
        <f>'Part VII-Pro Forma'!D30</f>
        <v>148696.96498273697</v>
      </c>
      <c r="E971" s="1601">
        <f>'Part VII-Pro Forma'!E30</f>
        <v>147908.87905793649</v>
      </c>
      <c r="F971" s="1601">
        <f>'Part VII-Pro Forma'!F30</f>
        <v>146634.89660524053</v>
      </c>
      <c r="G971" s="1601">
        <f>'Part VII-Pro Forma'!G30</f>
        <v>144851.37504980864</v>
      </c>
      <c r="H971" s="1601">
        <f>'Part VII-Pro Forma'!H30</f>
        <v>142533.79582597641</v>
      </c>
      <c r="I971" s="1601">
        <f>'Part VII-Pro Forma'!I30</f>
        <v>139655.7341632545</v>
      </c>
      <c r="J971" s="1601">
        <f>'Part VII-Pro Forma'!J30</f>
        <v>136190.82788723602</v>
      </c>
      <c r="K971" s="1601">
        <f>'Part VII-Pro Forma'!K30</f>
        <v>132111.74520425173</v>
      </c>
      <c r="M971" s="1477"/>
      <c r="N971" s="1477"/>
    </row>
    <row r="972" spans="1:14">
      <c r="A972" s="531" t="str">
        <f>IF('Part III-Sources of Funds'!$E$37 = "Neither", "", "DCR Mortgage A")</f>
        <v>DCR Mortgage A</v>
      </c>
      <c r="B972" s="1602">
        <f>IF(B964=0,"",-B963/B964)</f>
        <v>1.2906880507441374</v>
      </c>
      <c r="C972" s="1602">
        <f t="shared" ref="C972:K972" si="279">IF(C964=0,"",-C963/C964)</f>
        <v>1.2908894152443584</v>
      </c>
      <c r="D972" s="1602">
        <f t="shared" si="279"/>
        <v>1.2903259434226322</v>
      </c>
      <c r="E972" s="1602">
        <f t="shared" si="279"/>
        <v>1.2889595299457477</v>
      </c>
      <c r="F972" s="1602">
        <f t="shared" si="279"/>
        <v>1.2867506505102742</v>
      </c>
      <c r="G972" s="1602">
        <f t="shared" si="279"/>
        <v>1.2836583127169392</v>
      </c>
      <c r="H972" s="1602">
        <f t="shared" si="279"/>
        <v>1.279640005340122</v>
      </c>
      <c r="I972" s="1602">
        <f t="shared" si="279"/>
        <v>1.27464991210347</v>
      </c>
      <c r="J972" s="1602">
        <f t="shared" si="279"/>
        <v>1.2686423252621093</v>
      </c>
      <c r="K972" s="1602">
        <f t="shared" si="279"/>
        <v>1.2615698559082549</v>
      </c>
      <c r="M972" s="1477"/>
      <c r="N972" s="1477"/>
    </row>
    <row r="973" spans="1:14">
      <c r="A973" s="531" t="str">
        <f>IF('Part III-Sources of Funds'!$E$37 = "Neither", "", "DCR Mortgage B")</f>
        <v>DCR Mortgage B</v>
      </c>
      <c r="B973" s="1602" t="str">
        <f>IF(B965=0,"",-(B963+B964)/B965)</f>
        <v/>
      </c>
      <c r="C973" s="1602" t="str">
        <f t="shared" ref="C973:K973" si="280">IF(C965=0,"",-(C963+C964)/C965)</f>
        <v/>
      </c>
      <c r="D973" s="1602" t="str">
        <f t="shared" si="280"/>
        <v/>
      </c>
      <c r="E973" s="1602" t="str">
        <f t="shared" si="280"/>
        <v/>
      </c>
      <c r="F973" s="1602" t="str">
        <f t="shared" si="280"/>
        <v/>
      </c>
      <c r="G973" s="1602" t="str">
        <f t="shared" si="280"/>
        <v/>
      </c>
      <c r="H973" s="1602" t="str">
        <f t="shared" si="280"/>
        <v/>
      </c>
      <c r="I973" s="1602" t="str">
        <f t="shared" si="280"/>
        <v/>
      </c>
      <c r="J973" s="1602" t="str">
        <f t="shared" si="280"/>
        <v/>
      </c>
      <c r="K973" s="1602" t="str">
        <f t="shared" si="280"/>
        <v/>
      </c>
      <c r="M973" s="1477"/>
      <c r="N973" s="1477"/>
    </row>
    <row r="974" spans="1:14">
      <c r="A974" s="531" t="str">
        <f>IF('Part III-Sources of Funds'!$E$37 = "Neither", "DCR First Mortgage", "DCR Mortgage C")</f>
        <v>DCR Mortgage C</v>
      </c>
      <c r="B974" s="1602" t="str">
        <f>IF(B966=0,"",-(B963+B964+B965)/B966)</f>
        <v/>
      </c>
      <c r="C974" s="1602" t="str">
        <f t="shared" ref="C974:K974" si="281">IF(C966=0,"",-(C963+C964+C965)/C966)</f>
        <v/>
      </c>
      <c r="D974" s="1602" t="str">
        <f t="shared" si="281"/>
        <v/>
      </c>
      <c r="E974" s="1602" t="str">
        <f t="shared" si="281"/>
        <v/>
      </c>
      <c r="F974" s="1602" t="str">
        <f t="shared" si="281"/>
        <v/>
      </c>
      <c r="G974" s="1602" t="str">
        <f t="shared" si="281"/>
        <v/>
      </c>
      <c r="H974" s="1602" t="str">
        <f t="shared" si="281"/>
        <v/>
      </c>
      <c r="I974" s="1602" t="str">
        <f t="shared" si="281"/>
        <v/>
      </c>
      <c r="J974" s="1602" t="str">
        <f t="shared" si="281"/>
        <v/>
      </c>
      <c r="K974" s="1602" t="str">
        <f t="shared" si="281"/>
        <v/>
      </c>
      <c r="M974" s="1477"/>
      <c r="N974" s="1477"/>
    </row>
    <row r="975" spans="1:14">
      <c r="A975" s="531" t="s">
        <v>815</v>
      </c>
      <c r="B975" s="1602" t="str">
        <f>IF(B967=0,"",-(B963+B964+B965+B966)/B967)</f>
        <v/>
      </c>
      <c r="C975" s="1602" t="str">
        <f t="shared" ref="C975:K975" si="282">IF(C967=0,"",-(C963+C964+C965+C966)/C967)</f>
        <v/>
      </c>
      <c r="D975" s="1602" t="str">
        <f t="shared" si="282"/>
        <v/>
      </c>
      <c r="E975" s="1602" t="str">
        <f t="shared" si="282"/>
        <v/>
      </c>
      <c r="F975" s="1602" t="str">
        <f t="shared" si="282"/>
        <v/>
      </c>
      <c r="G975" s="1602" t="str">
        <f t="shared" si="282"/>
        <v/>
      </c>
      <c r="H975" s="1602" t="str">
        <f t="shared" si="282"/>
        <v/>
      </c>
      <c r="I975" s="1602" t="str">
        <f t="shared" si="282"/>
        <v/>
      </c>
      <c r="J975" s="1602" t="str">
        <f t="shared" si="282"/>
        <v/>
      </c>
      <c r="K975" s="1602" t="str">
        <f t="shared" si="282"/>
        <v/>
      </c>
      <c r="M975" s="1477"/>
      <c r="N975" s="1477"/>
    </row>
    <row r="976" spans="1:14">
      <c r="A976" s="472" t="s">
        <v>4200</v>
      </c>
      <c r="B976" s="1602">
        <f>IF(AND(B964=0,B965=0,B966=0,B967=0),"",-B963/(B964+B965+B966+B967))</f>
        <v>1.2906880507441374</v>
      </c>
      <c r="C976" s="1602">
        <f t="shared" ref="C976:K976" si="283">IF(AND(C964=0,C965=0,C966=0,C967=0),"",-C963/(C964+C965+C966+C967))</f>
        <v>1.2908894152443584</v>
      </c>
      <c r="D976" s="1602">
        <f t="shared" si="283"/>
        <v>1.2903259434226322</v>
      </c>
      <c r="E976" s="1602">
        <f t="shared" si="283"/>
        <v>1.2889595299457477</v>
      </c>
      <c r="F976" s="1602">
        <f t="shared" si="283"/>
        <v>1.2867506505102742</v>
      </c>
      <c r="G976" s="1602">
        <f t="shared" si="283"/>
        <v>1.2836583127169392</v>
      </c>
      <c r="H976" s="1602">
        <f t="shared" si="283"/>
        <v>1.279640005340122</v>
      </c>
      <c r="I976" s="1602">
        <f t="shared" si="283"/>
        <v>1.27464991210347</v>
      </c>
      <c r="J976" s="1602">
        <f t="shared" si="283"/>
        <v>1.2686423252621093</v>
      </c>
      <c r="K976" s="1602">
        <f t="shared" si="283"/>
        <v>1.2615698559082549</v>
      </c>
      <c r="M976" s="1477"/>
      <c r="N976" s="1477"/>
    </row>
    <row r="977" spans="1:14">
      <c r="A977" s="531" t="s">
        <v>801</v>
      </c>
      <c r="B977" s="1603">
        <f>IF(OR(B961="Choose mgt fee",B961="Choose One!"),"",(B955+B956+B957+B958+B959) / -(B960+B961+B962))</f>
        <v>1.4597893424812201</v>
      </c>
      <c r="C977" s="1603">
        <f t="shared" ref="C977:K977" si="284">IF(OR(C961="Choose mgt fee",C961="Choose One!"),"",(C955+C956+C957+C958+C959) / -(C960+C961+C962))</f>
        <v>1.4468470774981745</v>
      </c>
      <c r="D977" s="1603">
        <f t="shared" si="284"/>
        <v>1.4340084980915619</v>
      </c>
      <c r="E977" s="1603">
        <f t="shared" si="284"/>
        <v>1.4212730956095212</v>
      </c>
      <c r="F977" s="1603">
        <f t="shared" si="284"/>
        <v>1.4086403616419378</v>
      </c>
      <c r="G977" s="1603">
        <f t="shared" si="284"/>
        <v>1.3961097867552921</v>
      </c>
      <c r="H977" s="1603">
        <f t="shared" si="284"/>
        <v>1.3836808594030592</v>
      </c>
      <c r="I977" s="1603">
        <f t="shared" si="284"/>
        <v>1.3713523722838175</v>
      </c>
      <c r="J977" s="1603">
        <f t="shared" si="284"/>
        <v>1.3591238839027056</v>
      </c>
      <c r="K977" s="1603">
        <f t="shared" si="284"/>
        <v>1.3469949426483918</v>
      </c>
      <c r="M977" s="1477"/>
      <c r="N977" s="1477"/>
    </row>
    <row r="978" spans="1:14">
      <c r="A978" s="531" t="s">
        <v>2705</v>
      </c>
      <c r="B978" s="1601">
        <f>'Part VII-Pro Forma'!B37</f>
        <v>11381080.439505467</v>
      </c>
      <c r="C978" s="1601">
        <f>'Part VII-Pro Forma'!C37</f>
        <v>11257315.912633045</v>
      </c>
      <c r="D978" s="1601">
        <f>'Part VII-Pro Forma'!D37</f>
        <v>11128509.027977102</v>
      </c>
      <c r="E978" s="1601">
        <f>'Part VII-Pro Forma'!E37</f>
        <v>10994454.352101583</v>
      </c>
      <c r="F978" s="1601">
        <f>'Part VII-Pro Forma'!F37</f>
        <v>10854938.081895284</v>
      </c>
      <c r="G978" s="1601">
        <f>'Part VII-Pro Forma'!G37</f>
        <v>10709737.703578366</v>
      </c>
      <c r="H978" s="1601">
        <f>'Part VII-Pro Forma'!H37</f>
        <v>10558621.637816278</v>
      </c>
      <c r="I978" s="1601">
        <f>'Part VII-Pro Forma'!I37</f>
        <v>10401348.870375076</v>
      </c>
      <c r="J978" s="1601">
        <f>'Part VII-Pro Forma'!J37</f>
        <v>10237668.567729054</v>
      </c>
      <c r="K978" s="1601">
        <f>'Part VII-Pro Forma'!K37</f>
        <v>10067319.677007655</v>
      </c>
      <c r="M978" s="1477"/>
      <c r="N978" s="1477"/>
    </row>
    <row r="979" spans="1:14">
      <c r="A979" s="531" t="s">
        <v>2706</v>
      </c>
      <c r="B979" s="1601" t="str">
        <f>'Part VII-Pro Forma'!B38</f>
        <v/>
      </c>
      <c r="C979" s="1601" t="str">
        <f>'Part VII-Pro Forma'!C38</f>
        <v/>
      </c>
      <c r="D979" s="1601" t="str">
        <f>'Part VII-Pro Forma'!D38</f>
        <v/>
      </c>
      <c r="E979" s="1601" t="str">
        <f>'Part VII-Pro Forma'!E38</f>
        <v/>
      </c>
      <c r="F979" s="1601" t="str">
        <f>'Part VII-Pro Forma'!F38</f>
        <v/>
      </c>
      <c r="G979" s="1601" t="str">
        <f>'Part VII-Pro Forma'!G38</f>
        <v/>
      </c>
      <c r="H979" s="1601" t="str">
        <f>'Part VII-Pro Forma'!H38</f>
        <v/>
      </c>
      <c r="I979" s="1601" t="str">
        <f>'Part VII-Pro Forma'!I38</f>
        <v/>
      </c>
      <c r="J979" s="1601" t="str">
        <f>'Part VII-Pro Forma'!J38</f>
        <v/>
      </c>
      <c r="K979" s="1601" t="str">
        <f>'Part VII-Pro Forma'!K38</f>
        <v/>
      </c>
      <c r="M979" s="1477"/>
      <c r="N979" s="1477"/>
    </row>
    <row r="980" spans="1:14">
      <c r="A980" s="531" t="s">
        <v>2707</v>
      </c>
      <c r="B980" s="1601" t="str">
        <f>'Part VII-Pro Forma'!B39</f>
        <v/>
      </c>
      <c r="C980" s="1601" t="str">
        <f>'Part VII-Pro Forma'!C39</f>
        <v/>
      </c>
      <c r="D980" s="1601" t="str">
        <f>'Part VII-Pro Forma'!D39</f>
        <v/>
      </c>
      <c r="E980" s="1601" t="str">
        <f>'Part VII-Pro Forma'!E39</f>
        <v/>
      </c>
      <c r="F980" s="1601" t="str">
        <f>'Part VII-Pro Forma'!F39</f>
        <v/>
      </c>
      <c r="G980" s="1601" t="str">
        <f>'Part VII-Pro Forma'!G39</f>
        <v/>
      </c>
      <c r="H980" s="1601" t="str">
        <f>'Part VII-Pro Forma'!H39</f>
        <v/>
      </c>
      <c r="I980" s="1601" t="str">
        <f>'Part VII-Pro Forma'!I39</f>
        <v/>
      </c>
      <c r="J980" s="1601" t="str">
        <f>'Part VII-Pro Forma'!J39</f>
        <v/>
      </c>
      <c r="K980" s="1601" t="str">
        <f>'Part VII-Pro Forma'!K39</f>
        <v/>
      </c>
      <c r="M980" s="1477"/>
      <c r="N980" s="1477"/>
    </row>
    <row r="981" spans="1:14">
      <c r="A981" s="531" t="s">
        <v>816</v>
      </c>
      <c r="B981" s="1601" t="str">
        <f>'Part VII-Pro Forma'!B40</f>
        <v/>
      </c>
      <c r="C981" s="1601" t="str">
        <f>'Part VII-Pro Forma'!C40</f>
        <v/>
      </c>
      <c r="D981" s="1601" t="str">
        <f>'Part VII-Pro Forma'!D40</f>
        <v/>
      </c>
      <c r="E981" s="1601" t="str">
        <f>'Part VII-Pro Forma'!E40</f>
        <v/>
      </c>
      <c r="F981" s="1601" t="str">
        <f>'Part VII-Pro Forma'!F40</f>
        <v/>
      </c>
      <c r="G981" s="1601" t="str">
        <f>'Part VII-Pro Forma'!G40</f>
        <v/>
      </c>
      <c r="H981" s="1601" t="str">
        <f>'Part VII-Pro Forma'!H40</f>
        <v/>
      </c>
      <c r="I981" s="1601" t="str">
        <f>'Part VII-Pro Forma'!I40</f>
        <v/>
      </c>
      <c r="J981" s="1601" t="str">
        <f>'Part VII-Pro Forma'!J40</f>
        <v/>
      </c>
      <c r="K981" s="1601" t="str">
        <f>'Part VII-Pro Forma'!K40</f>
        <v/>
      </c>
      <c r="M981" s="1477"/>
      <c r="N981" s="1477"/>
    </row>
    <row r="982" spans="1:14">
      <c r="A982" s="531" t="s">
        <v>1284</v>
      </c>
      <c r="B982" s="1601">
        <f>'Part VII-Pro Forma'!B41</f>
        <v>11808</v>
      </c>
      <c r="C982" s="1601">
        <f>'Part VII-Pro Forma'!C41</f>
        <v>0</v>
      </c>
      <c r="D982" s="1601">
        <f>'Part VII-Pro Forma'!D41</f>
        <v>0</v>
      </c>
      <c r="E982" s="1601">
        <f>'Part VII-Pro Forma'!E41</f>
        <v>0</v>
      </c>
      <c r="F982" s="1601">
        <f>'Part VII-Pro Forma'!F41</f>
        <v>0</v>
      </c>
      <c r="G982" s="1601">
        <f>'Part VII-Pro Forma'!G41</f>
        <v>0</v>
      </c>
      <c r="H982" s="1601">
        <f>'Part VII-Pro Forma'!H41</f>
        <v>0</v>
      </c>
      <c r="I982" s="1601">
        <f>'Part VII-Pro Forma'!I41</f>
        <v>0</v>
      </c>
      <c r="J982" s="1601">
        <f>'Part VII-Pro Forma'!J41</f>
        <v>0</v>
      </c>
      <c r="K982" s="1601">
        <f>'Part VII-Pro Forma'!K41</f>
        <v>0</v>
      </c>
      <c r="M982" s="1477"/>
      <c r="N982" s="1477"/>
    </row>
    <row r="983" spans="1:14">
      <c r="B983" s="1601"/>
      <c r="C983" s="1601"/>
      <c r="D983" s="1601"/>
      <c r="E983" s="1601"/>
      <c r="F983" s="1601"/>
      <c r="G983" s="1601"/>
      <c r="H983" s="1601"/>
      <c r="I983" s="1601"/>
      <c r="J983" s="1601"/>
      <c r="K983" s="1601"/>
    </row>
    <row r="984" spans="1:14">
      <c r="A984" s="29" t="s">
        <v>2566</v>
      </c>
      <c r="B984" s="1604">
        <f>K954+1</f>
        <v>11</v>
      </c>
      <c r="C984" s="1604">
        <f t="shared" ref="C984:K984" si="285">B984+1</f>
        <v>12</v>
      </c>
      <c r="D984" s="1604">
        <f t="shared" si="285"/>
        <v>13</v>
      </c>
      <c r="E984" s="1604">
        <f t="shared" si="285"/>
        <v>14</v>
      </c>
      <c r="F984" s="1604">
        <f t="shared" si="285"/>
        <v>15</v>
      </c>
      <c r="G984" s="1604">
        <f t="shared" si="285"/>
        <v>16</v>
      </c>
      <c r="H984" s="1604">
        <f t="shared" si="285"/>
        <v>17</v>
      </c>
      <c r="I984" s="1604">
        <f t="shared" si="285"/>
        <v>18</v>
      </c>
      <c r="J984" s="1604">
        <f t="shared" si="285"/>
        <v>19</v>
      </c>
      <c r="K984" s="1604">
        <f t="shared" si="285"/>
        <v>20</v>
      </c>
      <c r="M984" s="1532" t="s">
        <v>2710</v>
      </c>
      <c r="N984" s="1532"/>
    </row>
    <row r="985" spans="1:14">
      <c r="A985" s="531" t="s">
        <v>2489</v>
      </c>
      <c r="B985" s="1601">
        <f>'Part VII-Pro Forma'!B44</f>
        <v>3037124.5974169374</v>
      </c>
      <c r="C985" s="1601">
        <f>'Part VII-Pro Forma'!C44</f>
        <v>3097867.0893652756</v>
      </c>
      <c r="D985" s="1601">
        <f>'Part VII-Pro Forma'!D44</f>
        <v>3159824.4311525817</v>
      </c>
      <c r="E985" s="1601">
        <f>'Part VII-Pro Forma'!E44</f>
        <v>3223020.9197756331</v>
      </c>
      <c r="F985" s="1601">
        <f>'Part VII-Pro Forma'!F44</f>
        <v>3287481.3381711459</v>
      </c>
      <c r="G985" s="1601">
        <f>'Part VII-Pro Forma'!G44</f>
        <v>3353230.9649345679</v>
      </c>
      <c r="H985" s="1601">
        <f>'Part VII-Pro Forma'!H44</f>
        <v>3420295.5842332598</v>
      </c>
      <c r="I985" s="1601">
        <f>'Part VII-Pro Forma'!I44</f>
        <v>3488701.4959179256</v>
      </c>
      <c r="J985" s="1601">
        <f>'Part VII-Pro Forma'!J44</f>
        <v>3558475.5258362833</v>
      </c>
      <c r="K985" s="1601">
        <f>'Part VII-Pro Forma'!K44</f>
        <v>3629645.0363530088</v>
      </c>
      <c r="M985" s="1477">
        <f>'Part VII-Pro Forma'!M44</f>
        <v>0</v>
      </c>
      <c r="N985" s="1477"/>
    </row>
    <row r="986" spans="1:14">
      <c r="A986" s="531" t="s">
        <v>1053</v>
      </c>
      <c r="B986" s="1601">
        <f>'Part VII-Pro Forma'!B45</f>
        <v>60742.491948338749</v>
      </c>
      <c r="C986" s="1601">
        <f>'Part VII-Pro Forma'!C45</f>
        <v>61957.341787305508</v>
      </c>
      <c r="D986" s="1601">
        <f>'Part VII-Pro Forma'!D45</f>
        <v>63196.488623051628</v>
      </c>
      <c r="E986" s="1601">
        <f>'Part VII-Pro Forma'!E45</f>
        <v>64460.418395512657</v>
      </c>
      <c r="F986" s="1601">
        <f>'Part VII-Pro Forma'!F45</f>
        <v>65749.626763422915</v>
      </c>
      <c r="G986" s="1601">
        <f>'Part VII-Pro Forma'!G45</f>
        <v>67064.619298691352</v>
      </c>
      <c r="H986" s="1601">
        <f>'Part VII-Pro Forma'!H45</f>
        <v>68405.911684665203</v>
      </c>
      <c r="I986" s="1601">
        <f>'Part VII-Pro Forma'!I45</f>
        <v>69774.029918358501</v>
      </c>
      <c r="J986" s="1601">
        <f>'Part VII-Pro Forma'!J45</f>
        <v>71169.51051672567</v>
      </c>
      <c r="K986" s="1601">
        <f>'Part VII-Pro Forma'!K45</f>
        <v>72592.900727060187</v>
      </c>
      <c r="M986" s="1477"/>
      <c r="N986" s="1477"/>
    </row>
    <row r="987" spans="1:14">
      <c r="A987" s="531" t="s">
        <v>2490</v>
      </c>
      <c r="B987" s="1601">
        <f>'Part VII-Pro Forma'!B46</f>
        <v>-216850.69625556935</v>
      </c>
      <c r="C987" s="1601">
        <f>'Part VII-Pro Forma'!C46</f>
        <v>-221187.7101806807</v>
      </c>
      <c r="D987" s="1601">
        <f>'Part VII-Pro Forma'!D46</f>
        <v>-225611.46438429435</v>
      </c>
      <c r="E987" s="1601">
        <f>'Part VII-Pro Forma'!E46</f>
        <v>-230123.69367198023</v>
      </c>
      <c r="F987" s="1601">
        <f>'Part VII-Pro Forma'!F46</f>
        <v>-234726.16754541986</v>
      </c>
      <c r="G987" s="1601">
        <f>'Part VII-Pro Forma'!G46</f>
        <v>-239420.69089632819</v>
      </c>
      <c r="H987" s="1601">
        <f>'Part VII-Pro Forma'!H46</f>
        <v>-244209.10471425479</v>
      </c>
      <c r="I987" s="1601">
        <f>'Part VII-Pro Forma'!I46</f>
        <v>-249093.28680853991</v>
      </c>
      <c r="J987" s="1601">
        <f>'Part VII-Pro Forma'!J46</f>
        <v>-254075.15254471064</v>
      </c>
      <c r="K987" s="1601">
        <f>'Part VII-Pro Forma'!K46</f>
        <v>-259156.65559560485</v>
      </c>
      <c r="M987" s="1477"/>
      <c r="N987" s="1477"/>
    </row>
    <row r="988" spans="1:14">
      <c r="A988" s="531" t="s">
        <v>54</v>
      </c>
      <c r="B988" s="1601">
        <f>'Part VII-Pro Forma'!B47</f>
        <v>0</v>
      </c>
      <c r="C988" s="1601">
        <f>'Part VII-Pro Forma'!C47</f>
        <v>0</v>
      </c>
      <c r="D988" s="1601">
        <f>'Part VII-Pro Forma'!D47</f>
        <v>0</v>
      </c>
      <c r="E988" s="1601">
        <f>'Part VII-Pro Forma'!E47</f>
        <v>0</v>
      </c>
      <c r="F988" s="1601">
        <f>'Part VII-Pro Forma'!F47</f>
        <v>0</v>
      </c>
      <c r="G988" s="1601">
        <f>'Part VII-Pro Forma'!G47</f>
        <v>0</v>
      </c>
      <c r="H988" s="1601">
        <f>'Part VII-Pro Forma'!H47</f>
        <v>0</v>
      </c>
      <c r="I988" s="1601">
        <f>'Part VII-Pro Forma'!I47</f>
        <v>0</v>
      </c>
      <c r="J988" s="1601">
        <f>'Part VII-Pro Forma'!J47</f>
        <v>0</v>
      </c>
      <c r="K988" s="1601">
        <f>'Part VII-Pro Forma'!K47</f>
        <v>0</v>
      </c>
      <c r="M988" s="1477"/>
      <c r="N988" s="1477"/>
    </row>
    <row r="989" spans="1:14">
      <c r="A989" s="531" t="s">
        <v>55</v>
      </c>
      <c r="B989" s="1601">
        <f>'Part VII-Pro Forma'!B48</f>
        <v>0</v>
      </c>
      <c r="C989" s="1601">
        <f>'Part VII-Pro Forma'!C48</f>
        <v>0</v>
      </c>
      <c r="D989" s="1601">
        <f>'Part VII-Pro Forma'!D48</f>
        <v>0</v>
      </c>
      <c r="E989" s="1601">
        <f>'Part VII-Pro Forma'!E48</f>
        <v>0</v>
      </c>
      <c r="F989" s="1601">
        <f>'Part VII-Pro Forma'!F48</f>
        <v>0</v>
      </c>
      <c r="G989" s="1601">
        <f>'Part VII-Pro Forma'!G48</f>
        <v>0</v>
      </c>
      <c r="H989" s="1601">
        <f>'Part VII-Pro Forma'!H48</f>
        <v>0</v>
      </c>
      <c r="I989" s="1601">
        <f>'Part VII-Pro Forma'!I48</f>
        <v>0</v>
      </c>
      <c r="J989" s="1601">
        <f>'Part VII-Pro Forma'!J48</f>
        <v>0</v>
      </c>
      <c r="K989" s="1601">
        <f>'Part VII-Pro Forma'!K48</f>
        <v>0</v>
      </c>
      <c r="M989" s="1477"/>
      <c r="N989" s="1477"/>
    </row>
    <row r="990" spans="1:14">
      <c r="A990" s="531" t="s">
        <v>638</v>
      </c>
      <c r="B990" s="1601">
        <f>'Part VII-Pro Forma'!B49</f>
        <v>-1887423.0414784716</v>
      </c>
      <c r="C990" s="1601">
        <f>'Part VII-Pro Forma'!C49</f>
        <v>-1944045.7327228258</v>
      </c>
      <c r="D990" s="1601">
        <f>'Part VII-Pro Forma'!D49</f>
        <v>-2002367.1047045102</v>
      </c>
      <c r="E990" s="1601">
        <f>'Part VII-Pro Forma'!E49</f>
        <v>-2062438.1178456454</v>
      </c>
      <c r="F990" s="1601">
        <f>'Part VII-Pro Forma'!F49</f>
        <v>-2124311.2613810152</v>
      </c>
      <c r="G990" s="1601">
        <f>'Part VII-Pro Forma'!G49</f>
        <v>-2188040.5992224454</v>
      </c>
      <c r="H990" s="1601">
        <f>'Part VII-Pro Forma'!H49</f>
        <v>-2253681.8171991184</v>
      </c>
      <c r="I990" s="1601">
        <f>'Part VII-Pro Forma'!I49</f>
        <v>-2321292.271715092</v>
      </c>
      <c r="J990" s="1601">
        <f>'Part VII-Pro Forma'!J49</f>
        <v>-2390931.0398665448</v>
      </c>
      <c r="K990" s="1601">
        <f>'Part VII-Pro Forma'!K49</f>
        <v>-2462658.971062541</v>
      </c>
      <c r="M990" s="1477"/>
      <c r="N990" s="1477"/>
    </row>
    <row r="991" spans="1:14">
      <c r="A991" s="531" t="s">
        <v>1153</v>
      </c>
      <c r="B991" s="1601">
        <f>'Part VII-Pro Forma'!B50</f>
        <v>-172861</v>
      </c>
      <c r="C991" s="1601">
        <f>'Part VII-Pro Forma'!C50</f>
        <v>-176318</v>
      </c>
      <c r="D991" s="1601">
        <f>'Part VII-Pro Forma'!D50</f>
        <v>-179845</v>
      </c>
      <c r="E991" s="1601">
        <f>'Part VII-Pro Forma'!E50</f>
        <v>-183441</v>
      </c>
      <c r="F991" s="1601">
        <f>'Part VII-Pro Forma'!F50</f>
        <v>-187110</v>
      </c>
      <c r="G991" s="1601">
        <f>'Part VII-Pro Forma'!G50</f>
        <v>-190852</v>
      </c>
      <c r="H991" s="1601">
        <f>'Part VII-Pro Forma'!H50</f>
        <v>-194670</v>
      </c>
      <c r="I991" s="1601">
        <f>'Part VII-Pro Forma'!I50</f>
        <v>-198563</v>
      </c>
      <c r="J991" s="1601">
        <f>'Part VII-Pro Forma'!J50</f>
        <v>-202534</v>
      </c>
      <c r="K991" s="1601">
        <f>'Part VII-Pro Forma'!K50</f>
        <v>-206585</v>
      </c>
      <c r="M991" s="1477"/>
      <c r="N991" s="1477"/>
    </row>
    <row r="992" spans="1:14">
      <c r="A992" s="531" t="s">
        <v>1247</v>
      </c>
      <c r="B992" s="1601">
        <f>'Part VII-Pro Forma'!B51</f>
        <v>-97837.112416252072</v>
      </c>
      <c r="C992" s="1601">
        <f>'Part VII-Pro Forma'!C51</f>
        <v>-100772.22578873963</v>
      </c>
      <c r="D992" s="1601">
        <f>'Part VII-Pro Forma'!D51</f>
        <v>-103795.3925624018</v>
      </c>
      <c r="E992" s="1601">
        <f>'Part VII-Pro Forma'!E51</f>
        <v>-106909.25433927386</v>
      </c>
      <c r="F992" s="1601">
        <f>'Part VII-Pro Forma'!F51</f>
        <v>-110116.53196945209</v>
      </c>
      <c r="G992" s="1601">
        <f>'Part VII-Pro Forma'!G51</f>
        <v>-113420.02792853565</v>
      </c>
      <c r="H992" s="1601">
        <f>'Part VII-Pro Forma'!H51</f>
        <v>-116822.6287663917</v>
      </c>
      <c r="I992" s="1601">
        <f>'Part VII-Pro Forma'!I51</f>
        <v>-120327.30762938345</v>
      </c>
      <c r="J992" s="1601">
        <f>'Part VII-Pro Forma'!J51</f>
        <v>-123937.12685826495</v>
      </c>
      <c r="K992" s="1601">
        <f>'Part VII-Pro Forma'!K51</f>
        <v>-127655.2406640129</v>
      </c>
      <c r="M992" s="1477"/>
      <c r="N992" s="1477"/>
    </row>
    <row r="993" spans="1:14">
      <c r="A993" s="531" t="s">
        <v>1248</v>
      </c>
      <c r="B993" s="1601">
        <f>'Part VII-Pro Forma'!B52</f>
        <v>722895.23921498307</v>
      </c>
      <c r="C993" s="1601">
        <f>'Part VII-Pro Forma'!C52</f>
        <v>717500.76246033504</v>
      </c>
      <c r="D993" s="1601">
        <f>'Part VII-Pro Forma'!D52</f>
        <v>711401.95812442701</v>
      </c>
      <c r="E993" s="1601">
        <f>'Part VII-Pro Forma'!E52</f>
        <v>704569.27231424616</v>
      </c>
      <c r="F993" s="1601">
        <f>'Part VII-Pro Forma'!F52</f>
        <v>696967.00403868197</v>
      </c>
      <c r="G993" s="1601">
        <f>'Part VII-Pro Forma'!G52</f>
        <v>688562.26618595026</v>
      </c>
      <c r="H993" s="1601">
        <f>'Part VII-Pro Forma'!H52</f>
        <v>679317.9452381602</v>
      </c>
      <c r="I993" s="1601">
        <f>'Part VII-Pro Forma'!I52</f>
        <v>669199.65968326875</v>
      </c>
      <c r="J993" s="1601">
        <f>'Part VII-Pro Forma'!J52</f>
        <v>658167.71708348836</v>
      </c>
      <c r="K993" s="1601">
        <f>'Part VII-Pro Forma'!K52</f>
        <v>646182.06975791021</v>
      </c>
      <c r="M993" s="1477"/>
      <c r="N993" s="1477"/>
    </row>
    <row r="994" spans="1:14">
      <c r="A994" s="531" t="str">
        <f>$A964</f>
        <v>Mortgage A</v>
      </c>
      <c r="B994" s="1601">
        <f>'Part VII-Pro Forma'!B53</f>
        <v>-576755.08777726337</v>
      </c>
      <c r="C994" s="1601">
        <f>'Part VII-Pro Forma'!C53</f>
        <v>-576755.08777726337</v>
      </c>
      <c r="D994" s="1601">
        <f>'Part VII-Pro Forma'!D53</f>
        <v>-576755.08777726337</v>
      </c>
      <c r="E994" s="1601">
        <f>'Part VII-Pro Forma'!E53</f>
        <v>-576755.08777726337</v>
      </c>
      <c r="F994" s="1601">
        <f>'Part VII-Pro Forma'!F53</f>
        <v>-576755.08777726337</v>
      </c>
      <c r="G994" s="1601">
        <f>'Part VII-Pro Forma'!G53</f>
        <v>-576755.08777726337</v>
      </c>
      <c r="H994" s="1601">
        <f>'Part VII-Pro Forma'!H53</f>
        <v>-576755.08777726337</v>
      </c>
      <c r="I994" s="1601">
        <f>'Part VII-Pro Forma'!I53</f>
        <v>-576755.08777726337</v>
      </c>
      <c r="J994" s="1601">
        <f>'Part VII-Pro Forma'!J53</f>
        <v>-576755.08777726337</v>
      </c>
      <c r="K994" s="1601">
        <f>'Part VII-Pro Forma'!K53</f>
        <v>-576755.08777726337</v>
      </c>
      <c r="M994" s="1477"/>
      <c r="N994" s="1477"/>
    </row>
    <row r="995" spans="1:14">
      <c r="A995" s="531" t="str">
        <f>$A965</f>
        <v>Mortgage B</v>
      </c>
      <c r="B995" s="1601">
        <f>'Part VII-Pro Forma'!B54</f>
        <v>0</v>
      </c>
      <c r="C995" s="1601">
        <f>'Part VII-Pro Forma'!C54</f>
        <v>0</v>
      </c>
      <c r="D995" s="1601">
        <f>'Part VII-Pro Forma'!D54</f>
        <v>0</v>
      </c>
      <c r="E995" s="1601">
        <f>'Part VII-Pro Forma'!E54</f>
        <v>0</v>
      </c>
      <c r="F995" s="1601">
        <f>'Part VII-Pro Forma'!F54</f>
        <v>0</v>
      </c>
      <c r="G995" s="1601">
        <f>'Part VII-Pro Forma'!G54</f>
        <v>0</v>
      </c>
      <c r="H995" s="1601">
        <f>'Part VII-Pro Forma'!H54</f>
        <v>0</v>
      </c>
      <c r="I995" s="1601">
        <f>'Part VII-Pro Forma'!I54</f>
        <v>0</v>
      </c>
      <c r="J995" s="1601">
        <f>'Part VII-Pro Forma'!J54</f>
        <v>0</v>
      </c>
      <c r="K995" s="1601">
        <f>'Part VII-Pro Forma'!K54</f>
        <v>0</v>
      </c>
      <c r="M995" s="1477"/>
      <c r="N995" s="1477"/>
    </row>
    <row r="996" spans="1:14">
      <c r="A996" s="531" t="str">
        <f>$A966</f>
        <v>Mortgage C</v>
      </c>
      <c r="B996" s="1601">
        <f>'Part VII-Pro Forma'!B55</f>
        <v>0</v>
      </c>
      <c r="C996" s="1601">
        <f>'Part VII-Pro Forma'!C55</f>
        <v>0</v>
      </c>
      <c r="D996" s="1601">
        <f>'Part VII-Pro Forma'!D55</f>
        <v>0</v>
      </c>
      <c r="E996" s="1601">
        <f>'Part VII-Pro Forma'!E55</f>
        <v>0</v>
      </c>
      <c r="F996" s="1601">
        <f>'Part VII-Pro Forma'!F55</f>
        <v>0</v>
      </c>
      <c r="G996" s="1601">
        <f>'Part VII-Pro Forma'!G55</f>
        <v>0</v>
      </c>
      <c r="H996" s="1601">
        <f>'Part VII-Pro Forma'!H55</f>
        <v>0</v>
      </c>
      <c r="I996" s="1601">
        <f>'Part VII-Pro Forma'!I55</f>
        <v>0</v>
      </c>
      <c r="J996" s="1601">
        <f>'Part VII-Pro Forma'!J55</f>
        <v>0</v>
      </c>
      <c r="K996" s="1601">
        <f>'Part VII-Pro Forma'!K55</f>
        <v>0</v>
      </c>
      <c r="M996" s="1477"/>
      <c r="N996" s="1477"/>
    </row>
    <row r="997" spans="1:14">
      <c r="A997" s="531" t="str">
        <f>$A967</f>
        <v>D/S Other Source</v>
      </c>
      <c r="B997" s="1601">
        <f>'Part VII-Pro Forma'!B56</f>
        <v>0</v>
      </c>
      <c r="C997" s="1601">
        <f>'Part VII-Pro Forma'!C56</f>
        <v>0</v>
      </c>
      <c r="D997" s="1601">
        <f>'Part VII-Pro Forma'!D56</f>
        <v>0</v>
      </c>
      <c r="E997" s="1601">
        <f>'Part VII-Pro Forma'!E56</f>
        <v>0</v>
      </c>
      <c r="F997" s="1601">
        <f>'Part VII-Pro Forma'!F56</f>
        <v>0</v>
      </c>
      <c r="G997" s="1601">
        <f>'Part VII-Pro Forma'!G56</f>
        <v>0</v>
      </c>
      <c r="H997" s="1601">
        <f>'Part VII-Pro Forma'!H56</f>
        <v>0</v>
      </c>
      <c r="I997" s="1601">
        <f>'Part VII-Pro Forma'!I56</f>
        <v>0</v>
      </c>
      <c r="J997" s="1601">
        <f>'Part VII-Pro Forma'!J56</f>
        <v>0</v>
      </c>
      <c r="K997" s="1601">
        <f>'Part VII-Pro Forma'!K56</f>
        <v>0</v>
      </c>
      <c r="M997" s="1477"/>
      <c r="N997" s="1477"/>
    </row>
    <row r="998" spans="1:14">
      <c r="A998" s="531" t="s">
        <v>794</v>
      </c>
      <c r="B998" s="1601">
        <f>'Part VII-Pro Forma'!B57</f>
        <v>0</v>
      </c>
      <c r="C998" s="1601">
        <f>'Part VII-Pro Forma'!C57</f>
        <v>0</v>
      </c>
      <c r="D998" s="1601">
        <f>'Part VII-Pro Forma'!D57</f>
        <v>0</v>
      </c>
      <c r="E998" s="1601">
        <f>'Part VII-Pro Forma'!E57</f>
        <v>0</v>
      </c>
      <c r="F998" s="1601">
        <f>'Part VII-Pro Forma'!F57</f>
        <v>0</v>
      </c>
      <c r="G998" s="1601">
        <f>'Part VII-Pro Forma'!G57</f>
        <v>0</v>
      </c>
      <c r="H998" s="1601">
        <f>'Part VII-Pro Forma'!H57</f>
        <v>0</v>
      </c>
      <c r="I998" s="1601">
        <f>'Part VII-Pro Forma'!I57</f>
        <v>0</v>
      </c>
      <c r="J998" s="1601">
        <f>'Part VII-Pro Forma'!J57</f>
        <v>0</v>
      </c>
      <c r="K998" s="1601">
        <f>'Part VII-Pro Forma'!K57</f>
        <v>0</v>
      </c>
      <c r="M998" s="1477"/>
      <c r="N998" s="1477"/>
    </row>
    <row r="999" spans="1:14">
      <c r="A999" s="531" t="s">
        <v>1206</v>
      </c>
      <c r="B999" s="1601">
        <f>'Part VII-Pro Forma'!B58</f>
        <v>-18750</v>
      </c>
      <c r="C999" s="1601">
        <f>'Part VII-Pro Forma'!C58</f>
        <v>-18750</v>
      </c>
      <c r="D999" s="1601">
        <f>'Part VII-Pro Forma'!D58</f>
        <v>-18750</v>
      </c>
      <c r="E999" s="1601">
        <f>'Part VII-Pro Forma'!E58</f>
        <v>-18750</v>
      </c>
      <c r="F999" s="1601">
        <f>'Part VII-Pro Forma'!F58</f>
        <v>-18750</v>
      </c>
      <c r="G999" s="1601">
        <f>'Part VII-Pro Forma'!G58</f>
        <v>-18750</v>
      </c>
      <c r="H999" s="1601">
        <f>'Part VII-Pro Forma'!H58</f>
        <v>-18750</v>
      </c>
      <c r="I999" s="1601">
        <f>'Part VII-Pro Forma'!I58</f>
        <v>-18750</v>
      </c>
      <c r="J999" s="1601">
        <f>'Part VII-Pro Forma'!J58</f>
        <v>-18750</v>
      </c>
      <c r="K999" s="1601">
        <f>'Part VII-Pro Forma'!K58</f>
        <v>-18750</v>
      </c>
      <c r="M999" s="1477"/>
      <c r="N999" s="1477"/>
    </row>
    <row r="1000" spans="1:14">
      <c r="A1000" s="531" t="s">
        <v>1249</v>
      </c>
      <c r="B1000" s="1601">
        <f>'Part VII-Pro Forma'!B59</f>
        <v>0</v>
      </c>
      <c r="C1000" s="1601">
        <f>'Part VII-Pro Forma'!C59</f>
        <v>0</v>
      </c>
      <c r="D1000" s="1601">
        <f>'Part VII-Pro Forma'!D59</f>
        <v>0</v>
      </c>
      <c r="E1000" s="1601">
        <f>'Part VII-Pro Forma'!E59</f>
        <v>0</v>
      </c>
      <c r="F1000" s="1601">
        <f>'Part VII-Pro Forma'!F59</f>
        <v>0</v>
      </c>
      <c r="G1000" s="1601">
        <f>'Part VII-Pro Forma'!G59</f>
        <v>0</v>
      </c>
      <c r="H1000" s="1601">
        <f>'Part VII-Pro Forma'!H59</f>
        <v>0</v>
      </c>
      <c r="I1000" s="1601">
        <f>'Part VII-Pro Forma'!I59</f>
        <v>0</v>
      </c>
      <c r="J1000" s="1601">
        <f>'Part VII-Pro Forma'!J59</f>
        <v>0</v>
      </c>
      <c r="K1000" s="1601">
        <f>'Part VII-Pro Forma'!K59</f>
        <v>0</v>
      </c>
      <c r="M1000" s="1477"/>
      <c r="N1000" s="1477"/>
    </row>
    <row r="1001" spans="1:14">
      <c r="A1001" s="531" t="s">
        <v>1207</v>
      </c>
      <c r="B1001" s="1601">
        <f>'Part VII-Pro Forma'!B60</f>
        <v>127390.1514377197</v>
      </c>
      <c r="C1001" s="1601">
        <f>'Part VII-Pro Forma'!C60</f>
        <v>121995.67468307167</v>
      </c>
      <c r="D1001" s="1601">
        <f>'Part VII-Pro Forma'!D60</f>
        <v>115896.87034716364</v>
      </c>
      <c r="E1001" s="1601">
        <f>'Part VII-Pro Forma'!E60</f>
        <v>109064.18453698279</v>
      </c>
      <c r="F1001" s="1601">
        <f>'Part VII-Pro Forma'!F60</f>
        <v>101461.91626141861</v>
      </c>
      <c r="G1001" s="1601">
        <f>'Part VII-Pro Forma'!G60</f>
        <v>93057.178408686887</v>
      </c>
      <c r="H1001" s="1601">
        <f>'Part VII-Pro Forma'!H60</f>
        <v>83812.857460896834</v>
      </c>
      <c r="I1001" s="1601">
        <f>'Part VII-Pro Forma'!I60</f>
        <v>73694.571906005382</v>
      </c>
      <c r="J1001" s="1601">
        <f>'Part VII-Pro Forma'!J60</f>
        <v>62662.62930622499</v>
      </c>
      <c r="K1001" s="1601">
        <f>'Part VII-Pro Forma'!K60</f>
        <v>50676.981980646844</v>
      </c>
      <c r="M1001" s="1477"/>
      <c r="N1001" s="1477"/>
    </row>
    <row r="1002" spans="1:14">
      <c r="A1002" s="531" t="str">
        <f>$A972</f>
        <v>DCR Mortgage A</v>
      </c>
      <c r="B1002" s="1602">
        <f>IF(B994=0,"",-B993/B994)</f>
        <v>1.2533833762974234</v>
      </c>
      <c r="C1002" s="1602">
        <f t="shared" ref="C1002:K1002" si="286">IF(C994=0,"",-C993/C994)</f>
        <v>1.2440302264614371</v>
      </c>
      <c r="D1002" s="1602">
        <f t="shared" si="286"/>
        <v>1.2334558865636966</v>
      </c>
      <c r="E1002" s="1602">
        <f t="shared" si="286"/>
        <v>1.2216091149357027</v>
      </c>
      <c r="F1002" s="1602">
        <f t="shared" si="286"/>
        <v>1.2084280118354902</v>
      </c>
      <c r="G1002" s="1602">
        <f t="shared" si="286"/>
        <v>1.1938555563325444</v>
      </c>
      <c r="H1002" s="1602">
        <f t="shared" si="286"/>
        <v>1.1778273995920181</v>
      </c>
      <c r="I1002" s="1602">
        <f t="shared" si="286"/>
        <v>1.1602839296351495</v>
      </c>
      <c r="J1002" s="1602">
        <f t="shared" si="286"/>
        <v>1.1411563261972744</v>
      </c>
      <c r="K1002" s="1602">
        <f t="shared" si="286"/>
        <v>1.1203751530796358</v>
      </c>
      <c r="M1002" s="1477"/>
      <c r="N1002" s="1477"/>
    </row>
    <row r="1003" spans="1:14">
      <c r="A1003" s="531" t="str">
        <f>$A973</f>
        <v>DCR Mortgage B</v>
      </c>
      <c r="B1003" s="1602" t="str">
        <f>IF(B995=0,"",-(B993+B994)/B995)</f>
        <v/>
      </c>
      <c r="C1003" s="1602" t="str">
        <f t="shared" ref="C1003:K1003" si="287">IF(C995=0,"",-(C993+C994)/C995)</f>
        <v/>
      </c>
      <c r="D1003" s="1602" t="str">
        <f t="shared" si="287"/>
        <v/>
      </c>
      <c r="E1003" s="1602" t="str">
        <f t="shared" si="287"/>
        <v/>
      </c>
      <c r="F1003" s="1602" t="str">
        <f t="shared" si="287"/>
        <v/>
      </c>
      <c r="G1003" s="1602" t="str">
        <f t="shared" si="287"/>
        <v/>
      </c>
      <c r="H1003" s="1602" t="str">
        <f t="shared" si="287"/>
        <v/>
      </c>
      <c r="I1003" s="1602" t="str">
        <f t="shared" si="287"/>
        <v/>
      </c>
      <c r="J1003" s="1602" t="str">
        <f t="shared" si="287"/>
        <v/>
      </c>
      <c r="K1003" s="1602" t="str">
        <f t="shared" si="287"/>
        <v/>
      </c>
      <c r="M1003" s="1477"/>
      <c r="N1003" s="1477"/>
    </row>
    <row r="1004" spans="1:14">
      <c r="A1004" s="531" t="str">
        <f>$A974</f>
        <v>DCR Mortgage C</v>
      </c>
      <c r="B1004" s="1602" t="str">
        <f>IF(B996=0,"",-(B993+B994+B995)/B996)</f>
        <v/>
      </c>
      <c r="C1004" s="1602" t="str">
        <f t="shared" ref="C1004:K1004" si="288">IF(C996=0,"",-(C993+C994+C995)/C996)</f>
        <v/>
      </c>
      <c r="D1004" s="1602" t="str">
        <f t="shared" si="288"/>
        <v/>
      </c>
      <c r="E1004" s="1602" t="str">
        <f t="shared" si="288"/>
        <v/>
      </c>
      <c r="F1004" s="1602" t="str">
        <f t="shared" si="288"/>
        <v/>
      </c>
      <c r="G1004" s="1602" t="str">
        <f t="shared" si="288"/>
        <v/>
      </c>
      <c r="H1004" s="1602" t="str">
        <f t="shared" si="288"/>
        <v/>
      </c>
      <c r="I1004" s="1602" t="str">
        <f t="shared" si="288"/>
        <v/>
      </c>
      <c r="J1004" s="1602" t="str">
        <f t="shared" si="288"/>
        <v/>
      </c>
      <c r="K1004" s="1602" t="str">
        <f t="shared" si="288"/>
        <v/>
      </c>
      <c r="M1004" s="1477"/>
      <c r="N1004" s="1477"/>
    </row>
    <row r="1005" spans="1:14">
      <c r="A1005" s="531" t="str">
        <f>$A975</f>
        <v>DCR Other Source</v>
      </c>
      <c r="B1005" s="1602" t="str">
        <f>IF(B997=0,"",-(B993+B994+B995+B996)/B997)</f>
        <v/>
      </c>
      <c r="C1005" s="1602" t="str">
        <f t="shared" ref="C1005:K1005" si="289">IF(C997=0,"",-(C993+C994+C995+C996)/C997)</f>
        <v/>
      </c>
      <c r="D1005" s="1602" t="str">
        <f t="shared" si="289"/>
        <v/>
      </c>
      <c r="E1005" s="1602" t="str">
        <f t="shared" si="289"/>
        <v/>
      </c>
      <c r="F1005" s="1602" t="str">
        <f t="shared" si="289"/>
        <v/>
      </c>
      <c r="G1005" s="1602" t="str">
        <f t="shared" si="289"/>
        <v/>
      </c>
      <c r="H1005" s="1602" t="str">
        <f t="shared" si="289"/>
        <v/>
      </c>
      <c r="I1005" s="1602" t="str">
        <f t="shared" si="289"/>
        <v/>
      </c>
      <c r="J1005" s="1602" t="str">
        <f t="shared" si="289"/>
        <v/>
      </c>
      <c r="K1005" s="1602" t="str">
        <f t="shared" si="289"/>
        <v/>
      </c>
      <c r="M1005" s="1477"/>
      <c r="N1005" s="1477"/>
    </row>
    <row r="1006" spans="1:14">
      <c r="A1006" s="472" t="s">
        <v>4200</v>
      </c>
      <c r="B1006" s="1602">
        <f>IF(AND(B994=0,B995=0,B996=0,B997=0),"",-B993/(B994+B995+B996+B997))</f>
        <v>1.2533833762974234</v>
      </c>
      <c r="C1006" s="1602">
        <f t="shared" ref="C1006:K1006" si="290">IF(AND(C994=0,C995=0,C996=0,C997=0),"",-C993/(C994+C995+C996+C997))</f>
        <v>1.2440302264614371</v>
      </c>
      <c r="D1006" s="1602">
        <f t="shared" si="290"/>
        <v>1.2334558865636966</v>
      </c>
      <c r="E1006" s="1602">
        <f t="shared" si="290"/>
        <v>1.2216091149357027</v>
      </c>
      <c r="F1006" s="1602">
        <f t="shared" si="290"/>
        <v>1.2084280118354902</v>
      </c>
      <c r="G1006" s="1602">
        <f t="shared" si="290"/>
        <v>1.1938555563325444</v>
      </c>
      <c r="H1006" s="1602">
        <f t="shared" si="290"/>
        <v>1.1778273995920181</v>
      </c>
      <c r="I1006" s="1602">
        <f t="shared" si="290"/>
        <v>1.1602839296351495</v>
      </c>
      <c r="J1006" s="1602">
        <f t="shared" si="290"/>
        <v>1.1411563261972744</v>
      </c>
      <c r="K1006" s="1602">
        <f t="shared" si="290"/>
        <v>1.1203751530796358</v>
      </c>
      <c r="M1006" s="1477"/>
      <c r="N1006" s="1477"/>
    </row>
    <row r="1007" spans="1:14">
      <c r="A1007" s="531" t="s">
        <v>801</v>
      </c>
      <c r="B1007" s="1603">
        <f>IF(OR(B991="Choose mgt fee",B991="Choose One!"),"",(B985+B986+B987+B988+B989) / -(B990+B991+B992))</f>
        <v>1.3349650866034033</v>
      </c>
      <c r="C1007" s="1603">
        <f t="shared" ref="C1007:K1007" si="291">IF(OR(C991="Choose mgt fee",C991="Choose One!"),"",(C985+C986+C987+C988+C989) / -(C990+C991+C992))</f>
        <v>1.3230332477896352</v>
      </c>
      <c r="D1007" s="1603">
        <f t="shared" si="291"/>
        <v>1.3111984361271602</v>
      </c>
      <c r="E1007" s="1603">
        <f t="shared" si="291"/>
        <v>1.2994613883015527</v>
      </c>
      <c r="F1007" s="1603">
        <f t="shared" si="291"/>
        <v>1.2878199984953984</v>
      </c>
      <c r="G1007" s="1603">
        <f t="shared" si="291"/>
        <v>1.2762744363146212</v>
      </c>
      <c r="H1007" s="1603">
        <f t="shared" si="291"/>
        <v>1.2648232935216499</v>
      </c>
      <c r="I1007" s="1603">
        <f t="shared" si="291"/>
        <v>1.2534671900794916</v>
      </c>
      <c r="J1007" s="1603">
        <f t="shared" si="291"/>
        <v>1.2422047517084138</v>
      </c>
      <c r="K1007" s="1603">
        <f t="shared" si="291"/>
        <v>1.2310351646025228</v>
      </c>
      <c r="M1007" s="1477"/>
      <c r="N1007" s="1477"/>
    </row>
    <row r="1008" spans="1:14">
      <c r="A1008" s="531" t="s">
        <v>2705</v>
      </c>
      <c r="B1008" s="1601">
        <f>'Part VII-Pro Forma'!B67</f>
        <v>9890030.5096435901</v>
      </c>
      <c r="C1008" s="1601">
        <f>'Part VII-Pro Forma'!C67</f>
        <v>9705518.3080581482</v>
      </c>
      <c r="D1008" s="1601">
        <f>'Part VII-Pro Forma'!D67</f>
        <v>9513488.794692589</v>
      </c>
      <c r="E1008" s="1601">
        <f>'Part VII-Pro Forma'!E67</f>
        <v>9313635.7026663795</v>
      </c>
      <c r="F1008" s="1601">
        <f>'Part VII-Pro Forma'!F67</f>
        <v>9105640.2873137314</v>
      </c>
      <c r="G1008" s="1601">
        <f>'Part VII-Pro Forma'!G67</f>
        <v>8889170.8178193737</v>
      </c>
      <c r="H1008" s="1601">
        <f>'Part VII-Pro Forma'!H67</f>
        <v>8663882.0481427871</v>
      </c>
      <c r="I1008" s="1601">
        <f>'Part VII-Pro Forma'!I67</f>
        <v>8429414.6663870756</v>
      </c>
      <c r="J1008" s="1601">
        <f>'Part VII-Pro Forma'!J67</f>
        <v>8185394.7217342714</v>
      </c>
      <c r="K1008" s="1601">
        <f>'Part VII-Pro Forma'!K67</f>
        <v>7931433.0280331103</v>
      </c>
      <c r="M1008" s="1477"/>
      <c r="N1008" s="1477"/>
    </row>
    <row r="1009" spans="1:14">
      <c r="A1009" s="531" t="s">
        <v>2706</v>
      </c>
      <c r="B1009" s="1601" t="str">
        <f>'Part VII-Pro Forma'!B68</f>
        <v/>
      </c>
      <c r="C1009" s="1601" t="str">
        <f>'Part VII-Pro Forma'!C68</f>
        <v/>
      </c>
      <c r="D1009" s="1601" t="str">
        <f>'Part VII-Pro Forma'!D68</f>
        <v/>
      </c>
      <c r="E1009" s="1601" t="str">
        <f>'Part VII-Pro Forma'!E68</f>
        <v/>
      </c>
      <c r="F1009" s="1601" t="str">
        <f>'Part VII-Pro Forma'!F68</f>
        <v/>
      </c>
      <c r="G1009" s="1601" t="str">
        <f>'Part VII-Pro Forma'!G68</f>
        <v/>
      </c>
      <c r="H1009" s="1601" t="str">
        <f>'Part VII-Pro Forma'!H68</f>
        <v/>
      </c>
      <c r="I1009" s="1601" t="str">
        <f>'Part VII-Pro Forma'!I68</f>
        <v/>
      </c>
      <c r="J1009" s="1601" t="str">
        <f>'Part VII-Pro Forma'!J68</f>
        <v/>
      </c>
      <c r="K1009" s="1601" t="str">
        <f>'Part VII-Pro Forma'!K68</f>
        <v/>
      </c>
      <c r="M1009" s="1477"/>
      <c r="N1009" s="1477"/>
    </row>
    <row r="1010" spans="1:14">
      <c r="A1010" s="531" t="s">
        <v>2707</v>
      </c>
      <c r="B1010" s="1601" t="str">
        <f>'Part VII-Pro Forma'!B69</f>
        <v/>
      </c>
      <c r="C1010" s="1601" t="str">
        <f>'Part VII-Pro Forma'!C69</f>
        <v/>
      </c>
      <c r="D1010" s="1601" t="str">
        <f>'Part VII-Pro Forma'!D69</f>
        <v/>
      </c>
      <c r="E1010" s="1601" t="str">
        <f>'Part VII-Pro Forma'!E69</f>
        <v/>
      </c>
      <c r="F1010" s="1601" t="str">
        <f>'Part VII-Pro Forma'!F69</f>
        <v/>
      </c>
      <c r="G1010" s="1601" t="str">
        <f>'Part VII-Pro Forma'!G69</f>
        <v/>
      </c>
      <c r="H1010" s="1601" t="str">
        <f>'Part VII-Pro Forma'!H69</f>
        <v/>
      </c>
      <c r="I1010" s="1601" t="str">
        <f>'Part VII-Pro Forma'!I69</f>
        <v/>
      </c>
      <c r="J1010" s="1601" t="str">
        <f>'Part VII-Pro Forma'!J69</f>
        <v/>
      </c>
      <c r="K1010" s="1601" t="str">
        <f>'Part VII-Pro Forma'!K69</f>
        <v/>
      </c>
      <c r="M1010" s="1477"/>
      <c r="N1010" s="1477"/>
    </row>
    <row r="1011" spans="1:14">
      <c r="A1011" s="531" t="s">
        <v>816</v>
      </c>
      <c r="B1011" s="1601" t="str">
        <f>'Part VII-Pro Forma'!B70</f>
        <v/>
      </c>
      <c r="C1011" s="1601" t="str">
        <f>'Part VII-Pro Forma'!C70</f>
        <v/>
      </c>
      <c r="D1011" s="1601" t="str">
        <f>'Part VII-Pro Forma'!D70</f>
        <v/>
      </c>
      <c r="E1011" s="1601" t="str">
        <f>'Part VII-Pro Forma'!E70</f>
        <v/>
      </c>
      <c r="F1011" s="1601" t="str">
        <f>'Part VII-Pro Forma'!F70</f>
        <v/>
      </c>
      <c r="G1011" s="1601" t="str">
        <f>'Part VII-Pro Forma'!G70</f>
        <v/>
      </c>
      <c r="H1011" s="1601" t="str">
        <f>'Part VII-Pro Forma'!H70</f>
        <v/>
      </c>
      <c r="I1011" s="1601" t="str">
        <f>'Part VII-Pro Forma'!I70</f>
        <v/>
      </c>
      <c r="J1011" s="1601" t="str">
        <f>'Part VII-Pro Forma'!J70</f>
        <v/>
      </c>
      <c r="K1011" s="1601" t="str">
        <f>'Part VII-Pro Forma'!K70</f>
        <v/>
      </c>
      <c r="M1011" s="1477"/>
      <c r="N1011" s="1477"/>
    </row>
    <row r="1012" spans="1:14">
      <c r="A1012" s="531" t="s">
        <v>1284</v>
      </c>
      <c r="B1012" s="1601">
        <f>'Part VII-Pro Forma'!B71</f>
        <v>0</v>
      </c>
      <c r="C1012" s="1601">
        <f>'Part VII-Pro Forma'!C71</f>
        <v>0</v>
      </c>
      <c r="D1012" s="1601">
        <f>'Part VII-Pro Forma'!D71</f>
        <v>0</v>
      </c>
      <c r="E1012" s="1601">
        <f>'Part VII-Pro Forma'!E71</f>
        <v>0</v>
      </c>
      <c r="F1012" s="1601">
        <f>'Part VII-Pro Forma'!F71</f>
        <v>0</v>
      </c>
      <c r="G1012" s="1601">
        <f>'Part VII-Pro Forma'!G71</f>
        <v>0</v>
      </c>
      <c r="H1012" s="1601">
        <f>'Part VII-Pro Forma'!H71</f>
        <v>0</v>
      </c>
      <c r="I1012" s="1601">
        <f>'Part VII-Pro Forma'!I71</f>
        <v>0</v>
      </c>
      <c r="J1012" s="1601">
        <f>'Part VII-Pro Forma'!J71</f>
        <v>0</v>
      </c>
      <c r="K1012" s="1601">
        <f>'Part VII-Pro Forma'!K71</f>
        <v>0</v>
      </c>
      <c r="M1012" s="1477"/>
      <c r="N1012" s="1477"/>
    </row>
    <row r="1013" spans="1:14">
      <c r="B1013" s="1601"/>
      <c r="C1013" s="1601"/>
      <c r="D1013" s="1601"/>
      <c r="E1013" s="1601"/>
      <c r="F1013" s="1601"/>
      <c r="G1013" s="1601"/>
      <c r="H1013" s="1601"/>
      <c r="I1013" s="1601"/>
      <c r="J1013" s="1601"/>
      <c r="K1013" s="1601"/>
    </row>
    <row r="1014" spans="1:14">
      <c r="A1014" s="29" t="s">
        <v>2566</v>
      </c>
      <c r="B1014" s="1604">
        <f>K984+1</f>
        <v>21</v>
      </c>
      <c r="C1014" s="1604">
        <f t="shared" ref="C1014:K1014" si="292">B1014+1</f>
        <v>22</v>
      </c>
      <c r="D1014" s="1604">
        <f t="shared" si="292"/>
        <v>23</v>
      </c>
      <c r="E1014" s="1604">
        <f t="shared" si="292"/>
        <v>24</v>
      </c>
      <c r="F1014" s="1604">
        <f t="shared" si="292"/>
        <v>25</v>
      </c>
      <c r="G1014" s="1604">
        <f t="shared" si="292"/>
        <v>26</v>
      </c>
      <c r="H1014" s="1604">
        <f t="shared" si="292"/>
        <v>27</v>
      </c>
      <c r="I1014" s="1604">
        <f t="shared" si="292"/>
        <v>28</v>
      </c>
      <c r="J1014" s="1604">
        <f t="shared" si="292"/>
        <v>29</v>
      </c>
      <c r="K1014" s="1604">
        <f t="shared" si="292"/>
        <v>30</v>
      </c>
      <c r="M1014" s="1532" t="s">
        <v>2711</v>
      </c>
      <c r="N1014" s="1532"/>
    </row>
    <row r="1015" spans="1:14">
      <c r="A1015" s="531" t="s">
        <v>2489</v>
      </c>
      <c r="B1015" s="1601">
        <f>'Part VII-Pro Forma'!B74</f>
        <v>3702237.9370800694</v>
      </c>
      <c r="C1015" s="1601">
        <f>'Part VII-Pro Forma'!C74</f>
        <v>3776282.6958216708</v>
      </c>
      <c r="D1015" s="1601">
        <f>'Part VII-Pro Forma'!D74</f>
        <v>3851808.3497381043</v>
      </c>
      <c r="E1015" s="1601">
        <f>'Part VII-Pro Forma'!E74</f>
        <v>3928844.5167328655</v>
      </c>
      <c r="F1015" s="1601">
        <f>'Part VII-Pro Forma'!F74</f>
        <v>4007421.4070675233</v>
      </c>
      <c r="G1015" s="1601">
        <f>'Part VII-Pro Forma'!G74</f>
        <v>4087569.8352088737</v>
      </c>
      <c r="H1015" s="1601">
        <f>'Part VII-Pro Forma'!H74</f>
        <v>4169321.2319130516</v>
      </c>
      <c r="I1015" s="1601">
        <f>'Part VII-Pro Forma'!I74</f>
        <v>4252707.6565513117</v>
      </c>
      <c r="J1015" s="1601">
        <f>'Part VII-Pro Forma'!J74</f>
        <v>4337761.8096823394</v>
      </c>
      <c r="K1015" s="1601">
        <f>'Part VII-Pro Forma'!K74</f>
        <v>4424517.0458759852</v>
      </c>
      <c r="M1015" s="1477">
        <f>'Part VII-Pro Forma'!M74</f>
        <v>0</v>
      </c>
      <c r="N1015" s="1477"/>
    </row>
    <row r="1016" spans="1:14">
      <c r="A1016" s="531" t="s">
        <v>1053</v>
      </c>
      <c r="B1016" s="1601">
        <f>'Part VII-Pro Forma'!B75</f>
        <v>74044.758741601385</v>
      </c>
      <c r="C1016" s="1601">
        <f>'Part VII-Pro Forma'!C75</f>
        <v>75525.65391643341</v>
      </c>
      <c r="D1016" s="1601">
        <f>'Part VII-Pro Forma'!D75</f>
        <v>77036.166994762083</v>
      </c>
      <c r="E1016" s="1601">
        <f>'Part VII-Pro Forma'!E75</f>
        <v>78576.890334657321</v>
      </c>
      <c r="F1016" s="1601">
        <f>'Part VII-Pro Forma'!F75</f>
        <v>80148.428141350465</v>
      </c>
      <c r="G1016" s="1601">
        <f>'Part VII-Pro Forma'!G75</f>
        <v>81751.396704177474</v>
      </c>
      <c r="H1016" s="1601">
        <f>'Part VII-Pro Forma'!H75</f>
        <v>83386.424638261029</v>
      </c>
      <c r="I1016" s="1601">
        <f>'Part VII-Pro Forma'!I75</f>
        <v>85054.153131026236</v>
      </c>
      <c r="J1016" s="1601">
        <f>'Part VII-Pro Forma'!J75</f>
        <v>86755.236193646779</v>
      </c>
      <c r="K1016" s="1601">
        <f>'Part VII-Pro Forma'!K75</f>
        <v>88490.340917519701</v>
      </c>
      <c r="M1016" s="1477"/>
      <c r="N1016" s="1477"/>
    </row>
    <row r="1017" spans="1:14">
      <c r="A1017" s="531" t="s">
        <v>2490</v>
      </c>
      <c r="B1017" s="1601">
        <f>'Part VII-Pro Forma'!B76</f>
        <v>-264339.78870751697</v>
      </c>
      <c r="C1017" s="1601">
        <f>'Part VII-Pro Forma'!C76</f>
        <v>-269626.58448166732</v>
      </c>
      <c r="D1017" s="1601">
        <f>'Part VII-Pro Forma'!D76</f>
        <v>-275019.1161713007</v>
      </c>
      <c r="E1017" s="1601">
        <f>'Part VII-Pro Forma'!E76</f>
        <v>-280519.49849472661</v>
      </c>
      <c r="F1017" s="1601">
        <f>'Part VII-Pro Forma'!F76</f>
        <v>-286129.88846462121</v>
      </c>
      <c r="G1017" s="1601">
        <f>'Part VII-Pro Forma'!G76</f>
        <v>-291852.48623391363</v>
      </c>
      <c r="H1017" s="1601">
        <f>'Part VII-Pro Forma'!H76</f>
        <v>-297689.53595859191</v>
      </c>
      <c r="I1017" s="1601">
        <f>'Part VII-Pro Forma'!I76</f>
        <v>-303643.32667776366</v>
      </c>
      <c r="J1017" s="1601">
        <f>'Part VII-Pro Forma'!J76</f>
        <v>-309716.19321131904</v>
      </c>
      <c r="K1017" s="1601">
        <f>'Part VII-Pro Forma'!K76</f>
        <v>-315910.51707554533</v>
      </c>
      <c r="M1017" s="1477"/>
      <c r="N1017" s="1477"/>
    </row>
    <row r="1018" spans="1:14">
      <c r="A1018" s="531" t="s">
        <v>54</v>
      </c>
      <c r="B1018" s="1601">
        <f>'Part VII-Pro Forma'!B77</f>
        <v>0</v>
      </c>
      <c r="C1018" s="1601">
        <f>'Part VII-Pro Forma'!C77</f>
        <v>0</v>
      </c>
      <c r="D1018" s="1601">
        <f>'Part VII-Pro Forma'!D77</f>
        <v>0</v>
      </c>
      <c r="E1018" s="1601">
        <f>'Part VII-Pro Forma'!E77</f>
        <v>0</v>
      </c>
      <c r="F1018" s="1601">
        <f>'Part VII-Pro Forma'!F77</f>
        <v>0</v>
      </c>
      <c r="G1018" s="1601">
        <f>'Part VII-Pro Forma'!G77</f>
        <v>0</v>
      </c>
      <c r="H1018" s="1601">
        <f>'Part VII-Pro Forma'!H77</f>
        <v>0</v>
      </c>
      <c r="I1018" s="1601">
        <f>'Part VII-Pro Forma'!I77</f>
        <v>0</v>
      </c>
      <c r="J1018" s="1601">
        <f>'Part VII-Pro Forma'!J77</f>
        <v>0</v>
      </c>
      <c r="K1018" s="1601">
        <f>'Part VII-Pro Forma'!K77</f>
        <v>0</v>
      </c>
      <c r="M1018" s="1477"/>
      <c r="N1018" s="1477"/>
    </row>
    <row r="1019" spans="1:14">
      <c r="A1019" s="531" t="s">
        <v>55</v>
      </c>
      <c r="B1019" s="1601">
        <f>'Part VII-Pro Forma'!B78</f>
        <v>0</v>
      </c>
      <c r="C1019" s="1601">
        <f>'Part VII-Pro Forma'!C78</f>
        <v>0</v>
      </c>
      <c r="D1019" s="1601">
        <f>'Part VII-Pro Forma'!D78</f>
        <v>0</v>
      </c>
      <c r="E1019" s="1601">
        <f>'Part VII-Pro Forma'!E78</f>
        <v>0</v>
      </c>
      <c r="F1019" s="1601">
        <f>'Part VII-Pro Forma'!F78</f>
        <v>0</v>
      </c>
      <c r="G1019" s="1601">
        <f>'Part VII-Pro Forma'!G78</f>
        <v>0</v>
      </c>
      <c r="H1019" s="1601">
        <f>'Part VII-Pro Forma'!H78</f>
        <v>0</v>
      </c>
      <c r="I1019" s="1601">
        <f>'Part VII-Pro Forma'!I78</f>
        <v>0</v>
      </c>
      <c r="J1019" s="1601">
        <f>'Part VII-Pro Forma'!J78</f>
        <v>0</v>
      </c>
      <c r="K1019" s="1601">
        <f>'Part VII-Pro Forma'!K78</f>
        <v>0</v>
      </c>
      <c r="M1019" s="1477"/>
      <c r="N1019" s="1477"/>
    </row>
    <row r="1020" spans="1:14">
      <c r="A1020" s="531" t="s">
        <v>638</v>
      </c>
      <c r="B1020" s="1601">
        <f>'Part VII-Pro Forma'!B79</f>
        <v>-2536538.7401944175</v>
      </c>
      <c r="C1020" s="1601">
        <f>'Part VII-Pro Forma'!C79</f>
        <v>-2612634.9024002496</v>
      </c>
      <c r="D1020" s="1601">
        <f>'Part VII-Pro Forma'!D79</f>
        <v>-2691013.9494722574</v>
      </c>
      <c r="E1020" s="1601">
        <f>'Part VII-Pro Forma'!E79</f>
        <v>-2771744.3679564251</v>
      </c>
      <c r="F1020" s="1601">
        <f>'Part VII-Pro Forma'!F79</f>
        <v>-2854896.6989951176</v>
      </c>
      <c r="G1020" s="1601">
        <f>'Part VII-Pro Forma'!G79</f>
        <v>-2940543.5999649712</v>
      </c>
      <c r="H1020" s="1601">
        <f>'Part VII-Pro Forma'!H79</f>
        <v>-3028759.9079639204</v>
      </c>
      <c r="I1020" s="1601">
        <f>'Part VII-Pro Forma'!I79</f>
        <v>-3119622.7052028379</v>
      </c>
      <c r="J1020" s="1601">
        <f>'Part VII-Pro Forma'!J79</f>
        <v>-3213211.3863589228</v>
      </c>
      <c r="K1020" s="1601">
        <f>'Part VII-Pro Forma'!K79</f>
        <v>-3309607.7279496901</v>
      </c>
      <c r="M1020" s="1477"/>
      <c r="N1020" s="1477"/>
    </row>
    <row r="1021" spans="1:14">
      <c r="A1021" s="531" t="s">
        <v>1153</v>
      </c>
      <c r="B1021" s="1601">
        <f>'Part VII-Pro Forma'!B80</f>
        <v>-210717</v>
      </c>
      <c r="C1021" s="1601">
        <f>'Part VII-Pro Forma'!C80</f>
        <v>-214931</v>
      </c>
      <c r="D1021" s="1601">
        <f>'Part VII-Pro Forma'!D80</f>
        <v>-219230</v>
      </c>
      <c r="E1021" s="1601">
        <f>'Part VII-Pro Forma'!E80</f>
        <v>-223614</v>
      </c>
      <c r="F1021" s="1601">
        <f>'Part VII-Pro Forma'!F80</f>
        <v>-228086</v>
      </c>
      <c r="G1021" s="1601">
        <f>'Part VII-Pro Forma'!G80</f>
        <v>-232648</v>
      </c>
      <c r="H1021" s="1601">
        <f>'Part VII-Pro Forma'!H80</f>
        <v>-237301</v>
      </c>
      <c r="I1021" s="1601">
        <f>'Part VII-Pro Forma'!I80</f>
        <v>-242047</v>
      </c>
      <c r="J1021" s="1601">
        <f>'Part VII-Pro Forma'!J80</f>
        <v>-246888</v>
      </c>
      <c r="K1021" s="1601">
        <f>'Part VII-Pro Forma'!K80</f>
        <v>-251826</v>
      </c>
      <c r="M1021" s="1477"/>
      <c r="N1021" s="1477"/>
    </row>
    <row r="1022" spans="1:14">
      <c r="A1022" s="531" t="s">
        <v>1247</v>
      </c>
      <c r="B1022" s="1601">
        <f>'Part VII-Pro Forma'!B81</f>
        <v>-131484.8978839333</v>
      </c>
      <c r="C1022" s="1601">
        <f>'Part VII-Pro Forma'!C81</f>
        <v>-135429.44482045126</v>
      </c>
      <c r="D1022" s="1601">
        <f>'Part VII-Pro Forma'!D81</f>
        <v>-139492.32816506483</v>
      </c>
      <c r="E1022" s="1601">
        <f>'Part VII-Pro Forma'!E81</f>
        <v>-143677.09801001678</v>
      </c>
      <c r="F1022" s="1601">
        <f>'Part VII-Pro Forma'!F81</f>
        <v>-147987.41095031725</v>
      </c>
      <c r="G1022" s="1601">
        <f>'Part VII-Pro Forma'!G81</f>
        <v>-152427.03327882677</v>
      </c>
      <c r="H1022" s="1601">
        <f>'Part VII-Pro Forma'!H81</f>
        <v>-156999.84427719159</v>
      </c>
      <c r="I1022" s="1601">
        <f>'Part VII-Pro Forma'!I81</f>
        <v>-161709.83960550732</v>
      </c>
      <c r="J1022" s="1601">
        <f>'Part VII-Pro Forma'!J81</f>
        <v>-166561.13479367254</v>
      </c>
      <c r="K1022" s="1601">
        <f>'Part VII-Pro Forma'!K81</f>
        <v>-171557.96883748271</v>
      </c>
      <c r="M1022" s="1477"/>
      <c r="N1022" s="1477"/>
    </row>
    <row r="1023" spans="1:14">
      <c r="A1023" s="531" t="s">
        <v>1248</v>
      </c>
      <c r="B1023" s="1601">
        <f>'Part VII-Pro Forma'!B82</f>
        <v>633202.26903580292</v>
      </c>
      <c r="C1023" s="1601">
        <f>'Part VII-Pro Forma'!C82</f>
        <v>619186.41803573607</v>
      </c>
      <c r="D1023" s="1601">
        <f>'Part VII-Pro Forma'!D82</f>
        <v>604089.12292424333</v>
      </c>
      <c r="E1023" s="1601">
        <f>'Part VII-Pro Forma'!E82</f>
        <v>587866.44260635437</v>
      </c>
      <c r="F1023" s="1601">
        <f>'Part VII-Pro Forma'!F82</f>
        <v>570469.83679881762</v>
      </c>
      <c r="G1023" s="1601">
        <f>'Part VII-Pro Forma'!G82</f>
        <v>551850.11243533937</v>
      </c>
      <c r="H1023" s="1601">
        <f>'Part VII-Pro Forma'!H82</f>
        <v>531957.36835160886</v>
      </c>
      <c r="I1023" s="1601">
        <f>'Part VII-Pro Forma'!I82</f>
        <v>510738.93819622847</v>
      </c>
      <c r="J1023" s="1601">
        <f>'Part VII-Pro Forma'!J82</f>
        <v>488140.33151207183</v>
      </c>
      <c r="K1023" s="1601">
        <f>'Part VII-Pro Forma'!K82</f>
        <v>464105.1729307865</v>
      </c>
      <c r="M1023" s="1477"/>
      <c r="N1023" s="1477"/>
    </row>
    <row r="1024" spans="1:14">
      <c r="A1024" s="531" t="str">
        <f>$A994</f>
        <v>Mortgage A</v>
      </c>
      <c r="B1024" s="1601">
        <f>'Part VII-Pro Forma'!B83</f>
        <v>-576755.08777726337</v>
      </c>
      <c r="C1024" s="1601">
        <f>'Part VII-Pro Forma'!C83</f>
        <v>-576755.08777726337</v>
      </c>
      <c r="D1024" s="1601">
        <f>'Part VII-Pro Forma'!D83</f>
        <v>-576755.08777726337</v>
      </c>
      <c r="E1024" s="1601">
        <f>'Part VII-Pro Forma'!E83</f>
        <v>-576755.08777726337</v>
      </c>
      <c r="F1024" s="1601">
        <f>'Part VII-Pro Forma'!F83</f>
        <v>-576755.08777726337</v>
      </c>
      <c r="G1024" s="1601">
        <f>'Part VII-Pro Forma'!G83</f>
        <v>-576755.08777726337</v>
      </c>
      <c r="H1024" s="1601">
        <f>'Part VII-Pro Forma'!H83</f>
        <v>-576755.08777726337</v>
      </c>
      <c r="I1024" s="1601">
        <f>'Part VII-Pro Forma'!I83</f>
        <v>-576755.08777726337</v>
      </c>
      <c r="J1024" s="1601">
        <f>'Part VII-Pro Forma'!J83</f>
        <v>-576755.08777726337</v>
      </c>
      <c r="K1024" s="1601">
        <f>'Part VII-Pro Forma'!K83</f>
        <v>-576755.08777726337</v>
      </c>
      <c r="M1024" s="1477"/>
      <c r="N1024" s="1477"/>
    </row>
    <row r="1025" spans="1:14">
      <c r="A1025" s="531" t="str">
        <f>$A995</f>
        <v>Mortgage B</v>
      </c>
      <c r="B1025" s="1601">
        <f>'Part VII-Pro Forma'!B84</f>
        <v>0</v>
      </c>
      <c r="C1025" s="1601">
        <f>'Part VII-Pro Forma'!C84</f>
        <v>0</v>
      </c>
      <c r="D1025" s="1601">
        <f>'Part VII-Pro Forma'!D84</f>
        <v>0</v>
      </c>
      <c r="E1025" s="1601">
        <f>'Part VII-Pro Forma'!E84</f>
        <v>0</v>
      </c>
      <c r="F1025" s="1601">
        <f>'Part VII-Pro Forma'!F84</f>
        <v>0</v>
      </c>
      <c r="G1025" s="1601">
        <f>'Part VII-Pro Forma'!G84</f>
        <v>0</v>
      </c>
      <c r="H1025" s="1601">
        <f>'Part VII-Pro Forma'!H84</f>
        <v>0</v>
      </c>
      <c r="I1025" s="1601">
        <f>'Part VII-Pro Forma'!I84</f>
        <v>0</v>
      </c>
      <c r="J1025" s="1601">
        <f>'Part VII-Pro Forma'!J84</f>
        <v>0</v>
      </c>
      <c r="K1025" s="1601">
        <f>'Part VII-Pro Forma'!K84</f>
        <v>0</v>
      </c>
      <c r="M1025" s="1477"/>
      <c r="N1025" s="1477"/>
    </row>
    <row r="1026" spans="1:14">
      <c r="A1026" s="531" t="str">
        <f>$A996</f>
        <v>Mortgage C</v>
      </c>
      <c r="B1026" s="1601">
        <f>'Part VII-Pro Forma'!B85</f>
        <v>0</v>
      </c>
      <c r="C1026" s="1601">
        <f>'Part VII-Pro Forma'!C85</f>
        <v>0</v>
      </c>
      <c r="D1026" s="1601">
        <f>'Part VII-Pro Forma'!D85</f>
        <v>0</v>
      </c>
      <c r="E1026" s="1601">
        <f>'Part VII-Pro Forma'!E85</f>
        <v>0</v>
      </c>
      <c r="F1026" s="1601">
        <f>'Part VII-Pro Forma'!F85</f>
        <v>0</v>
      </c>
      <c r="G1026" s="1601">
        <f>'Part VII-Pro Forma'!G85</f>
        <v>0</v>
      </c>
      <c r="H1026" s="1601">
        <f>'Part VII-Pro Forma'!H85</f>
        <v>0</v>
      </c>
      <c r="I1026" s="1601">
        <f>'Part VII-Pro Forma'!I85</f>
        <v>0</v>
      </c>
      <c r="J1026" s="1601">
        <f>'Part VII-Pro Forma'!J85</f>
        <v>0</v>
      </c>
      <c r="K1026" s="1601">
        <f>'Part VII-Pro Forma'!K85</f>
        <v>0</v>
      </c>
      <c r="M1026" s="1477"/>
      <c r="N1026" s="1477"/>
    </row>
    <row r="1027" spans="1:14">
      <c r="A1027" s="531" t="str">
        <f>$A997</f>
        <v>D/S Other Source</v>
      </c>
      <c r="B1027" s="1601">
        <f>'Part VII-Pro Forma'!B86</f>
        <v>0</v>
      </c>
      <c r="C1027" s="1601">
        <f>'Part VII-Pro Forma'!C86</f>
        <v>0</v>
      </c>
      <c r="D1027" s="1601">
        <f>'Part VII-Pro Forma'!D86</f>
        <v>0</v>
      </c>
      <c r="E1027" s="1601">
        <f>'Part VII-Pro Forma'!E86</f>
        <v>0</v>
      </c>
      <c r="F1027" s="1601">
        <f>'Part VII-Pro Forma'!F86</f>
        <v>0</v>
      </c>
      <c r="G1027" s="1601">
        <f>'Part VII-Pro Forma'!G86</f>
        <v>0</v>
      </c>
      <c r="H1027" s="1601">
        <f>'Part VII-Pro Forma'!H86</f>
        <v>0</v>
      </c>
      <c r="I1027" s="1601">
        <f>'Part VII-Pro Forma'!I86</f>
        <v>0</v>
      </c>
      <c r="J1027" s="1601">
        <f>'Part VII-Pro Forma'!J86</f>
        <v>0</v>
      </c>
      <c r="K1027" s="1601">
        <f>'Part VII-Pro Forma'!K86</f>
        <v>0</v>
      </c>
      <c r="M1027" s="1477"/>
      <c r="N1027" s="1477"/>
    </row>
    <row r="1028" spans="1:14">
      <c r="A1028" s="531" t="s">
        <v>794</v>
      </c>
      <c r="B1028" s="1601">
        <f>'Part VII-Pro Forma'!B87</f>
        <v>0</v>
      </c>
      <c r="C1028" s="1601">
        <f>'Part VII-Pro Forma'!C87</f>
        <v>0</v>
      </c>
      <c r="D1028" s="1601">
        <f>'Part VII-Pro Forma'!D87</f>
        <v>0</v>
      </c>
      <c r="E1028" s="1601">
        <f>'Part VII-Pro Forma'!E87</f>
        <v>0</v>
      </c>
      <c r="F1028" s="1601">
        <f>'Part VII-Pro Forma'!F87</f>
        <v>0</v>
      </c>
      <c r="G1028" s="1601">
        <f>'Part VII-Pro Forma'!G87</f>
        <v>0</v>
      </c>
      <c r="H1028" s="1601">
        <f>'Part VII-Pro Forma'!H87</f>
        <v>0</v>
      </c>
      <c r="I1028" s="1601">
        <f>'Part VII-Pro Forma'!I87</f>
        <v>0</v>
      </c>
      <c r="J1028" s="1601">
        <f>'Part VII-Pro Forma'!J87</f>
        <v>0</v>
      </c>
      <c r="K1028" s="1601">
        <f>'Part VII-Pro Forma'!K87</f>
        <v>0</v>
      </c>
      <c r="M1028" s="1477"/>
      <c r="N1028" s="1477"/>
    </row>
    <row r="1029" spans="1:14">
      <c r="A1029" s="531" t="s">
        <v>1206</v>
      </c>
      <c r="B1029" s="1601">
        <f>'Part VII-Pro Forma'!B88</f>
        <v>-18750</v>
      </c>
      <c r="C1029" s="1601">
        <f>'Part VII-Pro Forma'!C88</f>
        <v>-18750</v>
      </c>
      <c r="D1029" s="1601">
        <f>'Part VII-Pro Forma'!D88</f>
        <v>-18750</v>
      </c>
      <c r="E1029" s="1601">
        <f>'Part VII-Pro Forma'!E88</f>
        <v>-18750</v>
      </c>
      <c r="F1029" s="1601">
        <f>'Part VII-Pro Forma'!F88</f>
        <v>-18750</v>
      </c>
      <c r="G1029" s="1601">
        <f>'Part VII-Pro Forma'!G88</f>
        <v>-18750</v>
      </c>
      <c r="H1029" s="1601">
        <f>'Part VII-Pro Forma'!H88</f>
        <v>-18750</v>
      </c>
      <c r="I1029" s="1601">
        <f>'Part VII-Pro Forma'!I88</f>
        <v>-18750</v>
      </c>
      <c r="J1029" s="1601">
        <f>'Part VII-Pro Forma'!J88</f>
        <v>-18750</v>
      </c>
      <c r="K1029" s="1601">
        <f>'Part VII-Pro Forma'!K88</f>
        <v>-18750</v>
      </c>
      <c r="M1029" s="1477"/>
      <c r="N1029" s="1477"/>
    </row>
    <row r="1030" spans="1:14">
      <c r="A1030" s="531" t="s">
        <v>1249</v>
      </c>
      <c r="B1030" s="1601">
        <f>'Part VII-Pro Forma'!B89</f>
        <v>0</v>
      </c>
      <c r="C1030" s="1601">
        <f>'Part VII-Pro Forma'!C89</f>
        <v>0</v>
      </c>
      <c r="D1030" s="1601">
        <f>'Part VII-Pro Forma'!D89</f>
        <v>0</v>
      </c>
      <c r="E1030" s="1601">
        <f>'Part VII-Pro Forma'!E89</f>
        <v>0</v>
      </c>
      <c r="F1030" s="1601">
        <f>'Part VII-Pro Forma'!F89</f>
        <v>0</v>
      </c>
      <c r="G1030" s="1601">
        <f>'Part VII-Pro Forma'!G89</f>
        <v>0</v>
      </c>
      <c r="H1030" s="1601">
        <f>'Part VII-Pro Forma'!H89</f>
        <v>0</v>
      </c>
      <c r="I1030" s="1601">
        <f>'Part VII-Pro Forma'!I89</f>
        <v>0</v>
      </c>
      <c r="J1030" s="1601">
        <f>'Part VII-Pro Forma'!J89</f>
        <v>0</v>
      </c>
      <c r="K1030" s="1601">
        <f>'Part VII-Pro Forma'!K89</f>
        <v>0</v>
      </c>
      <c r="M1030" s="1477"/>
      <c r="N1030" s="1477"/>
    </row>
    <row r="1031" spans="1:14">
      <c r="A1031" s="531" t="s">
        <v>1207</v>
      </c>
      <c r="B1031" s="1601">
        <f>'Part VII-Pro Forma'!B90</f>
        <v>37697.181258539553</v>
      </c>
      <c r="C1031" s="1601">
        <f>'Part VII-Pro Forma'!C90</f>
        <v>23681.330258472706</v>
      </c>
      <c r="D1031" s="1601">
        <f>'Part VII-Pro Forma'!D90</f>
        <v>8584.0351469799643</v>
      </c>
      <c r="E1031" s="1601">
        <f>'Part VII-Pro Forma'!E90</f>
        <v>-7638.6451709090034</v>
      </c>
      <c r="F1031" s="1601">
        <f>'Part VII-Pro Forma'!F90</f>
        <v>-25035.250978445751</v>
      </c>
      <c r="G1031" s="1601">
        <f>'Part VII-Pro Forma'!G90</f>
        <v>-43654.975341924001</v>
      </c>
      <c r="H1031" s="1601">
        <f>'Part VII-Pro Forma'!H90</f>
        <v>-63547.719425654504</v>
      </c>
      <c r="I1031" s="1601">
        <f>'Part VII-Pro Forma'!I90</f>
        <v>-84766.149581034901</v>
      </c>
      <c r="J1031" s="1601">
        <f>'Part VII-Pro Forma'!J90</f>
        <v>-107364.75626519154</v>
      </c>
      <c r="K1031" s="1601">
        <f>'Part VII-Pro Forma'!K90</f>
        <v>-131399.91484647687</v>
      </c>
      <c r="M1031" s="1477"/>
      <c r="N1031" s="1477"/>
    </row>
    <row r="1032" spans="1:14">
      <c r="A1032" s="531" t="str">
        <f>$A1002</f>
        <v>DCR Mortgage A</v>
      </c>
      <c r="B1032" s="1602">
        <f>IF(B1024=0,"",-B1023/B1024)</f>
        <v>1.0978702788320072</v>
      </c>
      <c r="C1032" s="1602">
        <f t="shared" ref="C1032:K1032" si="293">IF(C1024=0,"",-C1023/C1024)</f>
        <v>1.0735690610411386</v>
      </c>
      <c r="D1032" s="1602">
        <f t="shared" si="293"/>
        <v>1.0473927941447758</v>
      </c>
      <c r="E1032" s="1602">
        <f t="shared" si="293"/>
        <v>1.019265291394156</v>
      </c>
      <c r="F1032" s="1602">
        <f t="shared" si="293"/>
        <v>0.98910239179221071</v>
      </c>
      <c r="G1032" s="1602">
        <f t="shared" si="293"/>
        <v>0.95681880252170048</v>
      </c>
      <c r="H1032" s="1602">
        <f t="shared" si="293"/>
        <v>0.92232800303799856</v>
      </c>
      <c r="I1032" s="1602">
        <f t="shared" si="293"/>
        <v>0.88553867840949219</v>
      </c>
      <c r="J1032" s="1602">
        <f t="shared" si="293"/>
        <v>0.84635635100038575</v>
      </c>
      <c r="K1032" s="1602">
        <f t="shared" si="293"/>
        <v>0.80468327504380677</v>
      </c>
      <c r="M1032" s="1477"/>
      <c r="N1032" s="1477"/>
    </row>
    <row r="1033" spans="1:14">
      <c r="A1033" s="531" t="str">
        <f>$A1003</f>
        <v>DCR Mortgage B</v>
      </c>
      <c r="B1033" s="1602" t="str">
        <f>IF(B1025=0,"",-(B1023+B1024)/B1025)</f>
        <v/>
      </c>
      <c r="C1033" s="1602" t="str">
        <f t="shared" ref="C1033:K1033" si="294">IF(C1025=0,"",-(C1023+C1024)/C1025)</f>
        <v/>
      </c>
      <c r="D1033" s="1602" t="str">
        <f t="shared" si="294"/>
        <v/>
      </c>
      <c r="E1033" s="1602" t="str">
        <f t="shared" si="294"/>
        <v/>
      </c>
      <c r="F1033" s="1602" t="str">
        <f t="shared" si="294"/>
        <v/>
      </c>
      <c r="G1033" s="1602" t="str">
        <f t="shared" si="294"/>
        <v/>
      </c>
      <c r="H1033" s="1602" t="str">
        <f t="shared" si="294"/>
        <v/>
      </c>
      <c r="I1033" s="1602" t="str">
        <f t="shared" si="294"/>
        <v/>
      </c>
      <c r="J1033" s="1602" t="str">
        <f t="shared" si="294"/>
        <v/>
      </c>
      <c r="K1033" s="1602" t="str">
        <f t="shared" si="294"/>
        <v/>
      </c>
      <c r="M1033" s="1477"/>
      <c r="N1033" s="1477"/>
    </row>
    <row r="1034" spans="1:14">
      <c r="A1034" s="531" t="str">
        <f>$A1004</f>
        <v>DCR Mortgage C</v>
      </c>
      <c r="B1034" s="1602" t="str">
        <f>IF(B1026=0,"",-(B1023+B1024+B1025)/B1026)</f>
        <v/>
      </c>
      <c r="C1034" s="1602" t="str">
        <f t="shared" ref="C1034:K1034" si="295">IF(C1026=0,"",-(C1023+C1024+C1025)/C1026)</f>
        <v/>
      </c>
      <c r="D1034" s="1602" t="str">
        <f t="shared" si="295"/>
        <v/>
      </c>
      <c r="E1034" s="1602" t="str">
        <f t="shared" si="295"/>
        <v/>
      </c>
      <c r="F1034" s="1602" t="str">
        <f t="shared" si="295"/>
        <v/>
      </c>
      <c r="G1034" s="1602" t="str">
        <f t="shared" si="295"/>
        <v/>
      </c>
      <c r="H1034" s="1602" t="str">
        <f t="shared" si="295"/>
        <v/>
      </c>
      <c r="I1034" s="1602" t="str">
        <f t="shared" si="295"/>
        <v/>
      </c>
      <c r="J1034" s="1602" t="str">
        <f t="shared" si="295"/>
        <v/>
      </c>
      <c r="K1034" s="1602" t="str">
        <f t="shared" si="295"/>
        <v/>
      </c>
      <c r="M1034" s="1477"/>
      <c r="N1034" s="1477"/>
    </row>
    <row r="1035" spans="1:14">
      <c r="A1035" s="531" t="str">
        <f>$A1005</f>
        <v>DCR Other Source</v>
      </c>
      <c r="B1035" s="1602" t="str">
        <f>IF(B1027=0,"",-(B1023+B1024+B1025+B1026)/B1027)</f>
        <v/>
      </c>
      <c r="C1035" s="1602" t="str">
        <f t="shared" ref="C1035:K1035" si="296">IF(C1027=0,"",-(C1023+C1024+C1025+C1026)/C1027)</f>
        <v/>
      </c>
      <c r="D1035" s="1602" t="str">
        <f t="shared" si="296"/>
        <v/>
      </c>
      <c r="E1035" s="1602" t="str">
        <f t="shared" si="296"/>
        <v/>
      </c>
      <c r="F1035" s="1602" t="str">
        <f t="shared" si="296"/>
        <v/>
      </c>
      <c r="G1035" s="1602" t="str">
        <f t="shared" si="296"/>
        <v/>
      </c>
      <c r="H1035" s="1602" t="str">
        <f t="shared" si="296"/>
        <v/>
      </c>
      <c r="I1035" s="1602" t="str">
        <f t="shared" si="296"/>
        <v/>
      </c>
      <c r="J1035" s="1602" t="str">
        <f t="shared" si="296"/>
        <v/>
      </c>
      <c r="K1035" s="1602" t="str">
        <f t="shared" si="296"/>
        <v/>
      </c>
      <c r="M1035" s="1477"/>
      <c r="N1035" s="1477"/>
    </row>
    <row r="1036" spans="1:14">
      <c r="A1036" s="472" t="s">
        <v>4200</v>
      </c>
      <c r="B1036" s="1602">
        <f>IF(AND(B1024=0,B1025=0,B1026=0,B1027=0),"",-B1023/(B1024+B1025+B1026+B1027))</f>
        <v>1.0978702788320072</v>
      </c>
      <c r="C1036" s="1602">
        <f t="shared" ref="C1036:K1036" si="297">IF(AND(C1024=0,C1025=0,C1026=0,C1027=0),"",-C1023/(C1024+C1025+C1026+C1027))</f>
        <v>1.0735690610411386</v>
      </c>
      <c r="D1036" s="1602">
        <f t="shared" si="297"/>
        <v>1.0473927941447758</v>
      </c>
      <c r="E1036" s="1602">
        <f t="shared" si="297"/>
        <v>1.019265291394156</v>
      </c>
      <c r="F1036" s="1602">
        <f t="shared" si="297"/>
        <v>0.98910239179221071</v>
      </c>
      <c r="G1036" s="1602">
        <f t="shared" si="297"/>
        <v>0.95681880252170048</v>
      </c>
      <c r="H1036" s="1602">
        <f t="shared" si="297"/>
        <v>0.92232800303799856</v>
      </c>
      <c r="I1036" s="1602">
        <f t="shared" si="297"/>
        <v>0.88553867840949219</v>
      </c>
      <c r="J1036" s="1602">
        <f t="shared" si="297"/>
        <v>0.84635635100038575</v>
      </c>
      <c r="K1036" s="1602">
        <f t="shared" si="297"/>
        <v>0.80468327504380677</v>
      </c>
      <c r="M1036" s="1477"/>
      <c r="N1036" s="1477"/>
    </row>
    <row r="1037" spans="1:14">
      <c r="A1037" s="531" t="s">
        <v>801</v>
      </c>
      <c r="B1037" s="1603">
        <f>IF(OR(B1021="Choose mgt fee",B1021="Choose One!"),"",(B1015+B1016+B1017+B1018+B1019) / -(B1020+B1021+B1022))</f>
        <v>1.2199580818987865</v>
      </c>
      <c r="C1037" s="1603">
        <f t="shared" ref="C1037:K1037" si="298">IF(OR(C1021="Choose mgt fee",C1021="Choose One!"),"",(C1015+C1016+C1017+C1018+C1019) / -(C1020+C1021+C1022))</f>
        <v>1.2089731320761388</v>
      </c>
      <c r="D1037" s="1603">
        <f t="shared" si="298"/>
        <v>1.1980791346956203</v>
      </c>
      <c r="E1037" s="1603">
        <f t="shared" si="298"/>
        <v>1.1872761391134403</v>
      </c>
      <c r="F1037" s="1603">
        <f t="shared" si="298"/>
        <v>1.1765630189653633</v>
      </c>
      <c r="G1037" s="1603">
        <f t="shared" si="298"/>
        <v>1.1659390848123397</v>
      </c>
      <c r="H1037" s="1603">
        <f t="shared" si="298"/>
        <v>1.1554040102862129</v>
      </c>
      <c r="I1037" s="1603">
        <f t="shared" si="298"/>
        <v>1.1449571162291601</v>
      </c>
      <c r="J1037" s="1603">
        <f t="shared" si="298"/>
        <v>1.1345977459607757</v>
      </c>
      <c r="K1037" s="1603">
        <f t="shared" si="298"/>
        <v>1.1243252625850257</v>
      </c>
      <c r="M1037" s="1477"/>
      <c r="N1037" s="1477"/>
    </row>
    <row r="1038" spans="1:14">
      <c r="A1038" s="531" t="s">
        <v>2705</v>
      </c>
      <c r="B1038" s="1601">
        <f>'Part VII-Pro Forma'!B97</f>
        <v>7667124.5430880403</v>
      </c>
      <c r="C1038" s="1601">
        <f>'Part VII-Pro Forma'!C97</f>
        <v>7392047.7226595152</v>
      </c>
      <c r="D1038" s="1601">
        <f>'Part VII-Pro Forma'!D97</f>
        <v>7105763.8481452623</v>
      </c>
      <c r="E1038" s="1601">
        <f>'Part VII-Pro Forma'!E97</f>
        <v>6807816.3268702431</v>
      </c>
      <c r="F1038" s="1601">
        <f>'Part VII-Pro Forma'!F97</f>
        <v>6497729.9638693519</v>
      </c>
      <c r="G1038" s="1601">
        <f>'Part VII-Pro Forma'!G97</f>
        <v>6175010.2040014183</v>
      </c>
      <c r="H1038" s="1601">
        <f>'Part VII-Pro Forma'!H97</f>
        <v>5839142.343185761</v>
      </c>
      <c r="I1038" s="1601">
        <f>'Part VII-Pro Forma'!I97</f>
        <v>5489590.7075033039</v>
      </c>
      <c r="J1038" s="1601">
        <f>'Part VII-Pro Forma'!J97</f>
        <v>5125797.7988530071</v>
      </c>
      <c r="K1038" s="1601">
        <f>'Part VII-Pro Forma'!K97</f>
        <v>4747183.4058010187</v>
      </c>
      <c r="M1038" s="1477"/>
      <c r="N1038" s="1477"/>
    </row>
    <row r="1039" spans="1:14">
      <c r="A1039" s="531" t="s">
        <v>2706</v>
      </c>
      <c r="B1039" s="1601" t="str">
        <f>'Part VII-Pro Forma'!B98</f>
        <v/>
      </c>
      <c r="C1039" s="1601" t="str">
        <f>'Part VII-Pro Forma'!C98</f>
        <v/>
      </c>
      <c r="D1039" s="1601" t="str">
        <f>'Part VII-Pro Forma'!D98</f>
        <v/>
      </c>
      <c r="E1039" s="1601" t="str">
        <f>'Part VII-Pro Forma'!E98</f>
        <v/>
      </c>
      <c r="F1039" s="1601" t="str">
        <f>'Part VII-Pro Forma'!F98</f>
        <v/>
      </c>
      <c r="G1039" s="1601" t="str">
        <f>'Part VII-Pro Forma'!G98</f>
        <v/>
      </c>
      <c r="H1039" s="1601" t="str">
        <f>'Part VII-Pro Forma'!H98</f>
        <v/>
      </c>
      <c r="I1039" s="1601" t="str">
        <f>'Part VII-Pro Forma'!I98</f>
        <v/>
      </c>
      <c r="J1039" s="1601" t="str">
        <f>'Part VII-Pro Forma'!J98</f>
        <v/>
      </c>
      <c r="K1039" s="1601" t="str">
        <f>'Part VII-Pro Forma'!K98</f>
        <v/>
      </c>
      <c r="M1039" s="1477"/>
      <c r="N1039" s="1477"/>
    </row>
    <row r="1040" spans="1:14">
      <c r="A1040" s="531" t="s">
        <v>2707</v>
      </c>
      <c r="B1040" s="1601" t="str">
        <f>'Part VII-Pro Forma'!B99</f>
        <v/>
      </c>
      <c r="C1040" s="1601" t="str">
        <f>'Part VII-Pro Forma'!C99</f>
        <v/>
      </c>
      <c r="D1040" s="1601" t="str">
        <f>'Part VII-Pro Forma'!D99</f>
        <v/>
      </c>
      <c r="E1040" s="1601" t="str">
        <f>'Part VII-Pro Forma'!E99</f>
        <v/>
      </c>
      <c r="F1040" s="1601" t="str">
        <f>'Part VII-Pro Forma'!F99</f>
        <v/>
      </c>
      <c r="G1040" s="1601" t="str">
        <f>'Part VII-Pro Forma'!G99</f>
        <v/>
      </c>
      <c r="H1040" s="1601" t="str">
        <f>'Part VII-Pro Forma'!H99</f>
        <v/>
      </c>
      <c r="I1040" s="1601" t="str">
        <f>'Part VII-Pro Forma'!I99</f>
        <v/>
      </c>
      <c r="J1040" s="1601" t="str">
        <f>'Part VII-Pro Forma'!J99</f>
        <v/>
      </c>
      <c r="K1040" s="1601" t="str">
        <f>'Part VII-Pro Forma'!K99</f>
        <v/>
      </c>
      <c r="M1040" s="1477"/>
      <c r="N1040" s="1477"/>
    </row>
    <row r="1041" spans="1:14">
      <c r="A1041" s="531" t="s">
        <v>816</v>
      </c>
      <c r="B1041" s="1601" t="str">
        <f>'Part VII-Pro Forma'!B100</f>
        <v/>
      </c>
      <c r="C1041" s="1601" t="str">
        <f>'Part VII-Pro Forma'!C100</f>
        <v/>
      </c>
      <c r="D1041" s="1601" t="str">
        <f>'Part VII-Pro Forma'!D100</f>
        <v/>
      </c>
      <c r="E1041" s="1601" t="str">
        <f>'Part VII-Pro Forma'!E100</f>
        <v/>
      </c>
      <c r="F1041" s="1601" t="str">
        <f>'Part VII-Pro Forma'!F100</f>
        <v/>
      </c>
      <c r="G1041" s="1601" t="str">
        <f>'Part VII-Pro Forma'!G100</f>
        <v/>
      </c>
      <c r="H1041" s="1601" t="str">
        <f>'Part VII-Pro Forma'!H100</f>
        <v/>
      </c>
      <c r="I1041" s="1601" t="str">
        <f>'Part VII-Pro Forma'!I100</f>
        <v/>
      </c>
      <c r="J1041" s="1601" t="str">
        <f>'Part VII-Pro Forma'!J100</f>
        <v/>
      </c>
      <c r="K1041" s="1601" t="str">
        <f>'Part VII-Pro Forma'!K100</f>
        <v/>
      </c>
      <c r="M1041" s="1477"/>
      <c r="N1041" s="1477"/>
    </row>
    <row r="1042" spans="1:14">
      <c r="A1042" s="531" t="s">
        <v>1284</v>
      </c>
      <c r="B1042" s="1601">
        <f>'Part VII-Pro Forma'!B101</f>
        <v>0</v>
      </c>
      <c r="C1042" s="1601">
        <f>'Part VII-Pro Forma'!C101</f>
        <v>0</v>
      </c>
      <c r="D1042" s="1601">
        <f>'Part VII-Pro Forma'!D101</f>
        <v>0</v>
      </c>
      <c r="E1042" s="1601">
        <f>'Part VII-Pro Forma'!E101</f>
        <v>0</v>
      </c>
      <c r="F1042" s="1601">
        <f>'Part VII-Pro Forma'!F101</f>
        <v>0</v>
      </c>
      <c r="G1042" s="1601">
        <f>'Part VII-Pro Forma'!G101</f>
        <v>0</v>
      </c>
      <c r="H1042" s="1601">
        <f>'Part VII-Pro Forma'!H101</f>
        <v>0</v>
      </c>
      <c r="I1042" s="1601">
        <f>'Part VII-Pro Forma'!I101</f>
        <v>0</v>
      </c>
      <c r="J1042" s="1601">
        <f>'Part VII-Pro Forma'!J101</f>
        <v>0</v>
      </c>
      <c r="K1042" s="1601">
        <f>'Part VII-Pro Forma'!K101</f>
        <v>0</v>
      </c>
      <c r="M1042" s="1477"/>
      <c r="N1042" s="1477"/>
    </row>
    <row r="1043" spans="1:14">
      <c r="B1043" s="1601"/>
      <c r="C1043" s="1601"/>
      <c r="D1043" s="1601"/>
      <c r="E1043" s="1601"/>
      <c r="F1043" s="1601"/>
      <c r="G1043" s="1601"/>
      <c r="H1043" s="1601"/>
      <c r="I1043" s="1601"/>
      <c r="J1043" s="1601"/>
      <c r="K1043" s="1601"/>
    </row>
    <row r="1044" spans="1:14">
      <c r="A1044" s="29" t="s">
        <v>2566</v>
      </c>
      <c r="B1044" s="1604">
        <f>K1014+1</f>
        <v>31</v>
      </c>
      <c r="C1044" s="1604">
        <f>B1044+1</f>
        <v>32</v>
      </c>
      <c r="D1044" s="1604">
        <f>C1044+1</f>
        <v>33</v>
      </c>
      <c r="E1044" s="1604">
        <f>D1044+1</f>
        <v>34</v>
      </c>
      <c r="F1044" s="1604">
        <f>E1044+1</f>
        <v>35</v>
      </c>
      <c r="G1044" s="1601"/>
      <c r="H1044" s="1601"/>
      <c r="I1044" s="1601"/>
      <c r="J1044" s="1601"/>
      <c r="K1044" s="1601"/>
      <c r="M1044" s="1532" t="s">
        <v>4162</v>
      </c>
      <c r="N1044" s="1532"/>
    </row>
    <row r="1045" spans="1:14">
      <c r="A1045" s="531" t="s">
        <v>2489</v>
      </c>
      <c r="B1045" s="1601">
        <v>0</v>
      </c>
      <c r="C1045" s="1601">
        <v>0</v>
      </c>
      <c r="D1045" s="1601">
        <v>0</v>
      </c>
      <c r="E1045" s="1601">
        <v>0</v>
      </c>
      <c r="F1045" s="1601">
        <v>0</v>
      </c>
      <c r="G1045" s="1601"/>
      <c r="H1045" s="1601"/>
      <c r="I1045" s="1601"/>
      <c r="J1045" s="1601"/>
      <c r="K1045" s="1601"/>
      <c r="M1045" s="1477">
        <f>'Part VII-Pro Forma'!M104</f>
        <v>0</v>
      </c>
      <c r="N1045" s="1477"/>
    </row>
    <row r="1046" spans="1:14">
      <c r="A1046" s="531" t="s">
        <v>1053</v>
      </c>
      <c r="B1046" s="1601">
        <v>0</v>
      </c>
      <c r="C1046" s="1601">
        <v>0</v>
      </c>
      <c r="D1046" s="1601">
        <v>0</v>
      </c>
      <c r="E1046" s="1601">
        <v>0</v>
      </c>
      <c r="F1046" s="1601">
        <v>0</v>
      </c>
      <c r="G1046" s="1601"/>
      <c r="H1046" s="1601"/>
      <c r="I1046" s="1601"/>
      <c r="J1046" s="1601"/>
      <c r="K1046" s="1601"/>
      <c r="M1046" s="1477"/>
      <c r="N1046" s="1477"/>
    </row>
    <row r="1047" spans="1:14">
      <c r="A1047" s="531" t="s">
        <v>2490</v>
      </c>
      <c r="B1047" s="1601">
        <v>0</v>
      </c>
      <c r="C1047" s="1601">
        <v>0</v>
      </c>
      <c r="D1047" s="1601">
        <v>0</v>
      </c>
      <c r="E1047" s="1601">
        <v>0</v>
      </c>
      <c r="F1047" s="1601">
        <v>0</v>
      </c>
      <c r="G1047" s="1601"/>
      <c r="H1047" s="1601"/>
      <c r="I1047" s="1601"/>
      <c r="J1047" s="1601"/>
      <c r="K1047" s="1601"/>
      <c r="M1047" s="1477"/>
      <c r="N1047" s="1477"/>
    </row>
    <row r="1048" spans="1:14">
      <c r="A1048" s="531" t="s">
        <v>54</v>
      </c>
      <c r="B1048" s="1601">
        <v>0</v>
      </c>
      <c r="C1048" s="1601">
        <v>0</v>
      </c>
      <c r="D1048" s="1601">
        <v>0</v>
      </c>
      <c r="E1048" s="1601">
        <v>0</v>
      </c>
      <c r="F1048" s="1601">
        <v>0</v>
      </c>
      <c r="G1048" s="1601"/>
      <c r="H1048" s="1601"/>
      <c r="I1048" s="1601"/>
      <c r="J1048" s="1601"/>
      <c r="K1048" s="1601"/>
      <c r="M1048" s="1477"/>
      <c r="N1048" s="1477"/>
    </row>
    <row r="1049" spans="1:14">
      <c r="A1049" s="531" t="s">
        <v>55</v>
      </c>
      <c r="B1049" s="1601">
        <v>0</v>
      </c>
      <c r="C1049" s="1601">
        <v>0</v>
      </c>
      <c r="D1049" s="1601">
        <v>0</v>
      </c>
      <c r="E1049" s="1601">
        <v>0</v>
      </c>
      <c r="F1049" s="1601">
        <v>0</v>
      </c>
      <c r="G1049" s="1601"/>
      <c r="H1049" s="1601"/>
      <c r="I1049" s="1601"/>
      <c r="J1049" s="1601"/>
      <c r="K1049" s="1601"/>
      <c r="M1049" s="1477"/>
      <c r="N1049" s="1477"/>
    </row>
    <row r="1050" spans="1:14">
      <c r="A1050" s="531" t="s">
        <v>638</v>
      </c>
      <c r="B1050" s="1601">
        <v>0</v>
      </c>
      <c r="C1050" s="1601">
        <v>0</v>
      </c>
      <c r="D1050" s="1601">
        <v>0</v>
      </c>
      <c r="E1050" s="1601">
        <v>0</v>
      </c>
      <c r="F1050" s="1601">
        <v>0</v>
      </c>
      <c r="G1050" s="1601"/>
      <c r="H1050" s="1601"/>
      <c r="I1050" s="1601"/>
      <c r="J1050" s="1601"/>
      <c r="K1050" s="1601"/>
      <c r="M1050" s="1477"/>
      <c r="N1050" s="1477"/>
    </row>
    <row r="1051" spans="1:14">
      <c r="A1051" s="531" t="s">
        <v>1153</v>
      </c>
      <c r="B1051" s="1601" t="s">
        <v>4246</v>
      </c>
      <c r="C1051" s="1601" t="s">
        <v>4246</v>
      </c>
      <c r="D1051" s="1601" t="s">
        <v>4246</v>
      </c>
      <c r="E1051" s="1601" t="s">
        <v>4246</v>
      </c>
      <c r="F1051" s="1601" t="s">
        <v>4246</v>
      </c>
      <c r="G1051" s="1601"/>
      <c r="H1051" s="1601"/>
      <c r="I1051" s="1601"/>
      <c r="J1051" s="1601"/>
      <c r="K1051" s="1601"/>
      <c r="M1051" s="1477"/>
      <c r="N1051" s="1477"/>
    </row>
    <row r="1052" spans="1:14">
      <c r="A1052" s="531" t="s">
        <v>1247</v>
      </c>
      <c r="B1052" s="1601" t="e">
        <v>#DIV/0!</v>
      </c>
      <c r="C1052" s="1601" t="e">
        <v>#DIV/0!</v>
      </c>
      <c r="D1052" s="1601" t="e">
        <v>#DIV/0!</v>
      </c>
      <c r="E1052" s="1601" t="e">
        <v>#DIV/0!</v>
      </c>
      <c r="F1052" s="1601" t="e">
        <v>#DIV/0!</v>
      </c>
      <c r="G1052" s="1601"/>
      <c r="H1052" s="1601"/>
      <c r="I1052" s="1601"/>
      <c r="J1052" s="1601"/>
      <c r="K1052" s="1601"/>
      <c r="M1052" s="1477"/>
      <c r="N1052" s="1477"/>
    </row>
    <row r="1053" spans="1:14">
      <c r="A1053" s="531" t="s">
        <v>1248</v>
      </c>
      <c r="B1053" s="1601" t="e">
        <v>#DIV/0!</v>
      </c>
      <c r="C1053" s="1601" t="e">
        <v>#DIV/0!</v>
      </c>
      <c r="D1053" s="1601" t="e">
        <v>#DIV/0!</v>
      </c>
      <c r="E1053" s="1601" t="e">
        <v>#DIV/0!</v>
      </c>
      <c r="F1053" s="1601" t="e">
        <v>#DIV/0!</v>
      </c>
      <c r="G1053" s="1601"/>
      <c r="H1053" s="1601"/>
      <c r="I1053" s="1601"/>
      <c r="J1053" s="1601"/>
      <c r="K1053" s="1601"/>
      <c r="M1053" s="1477"/>
      <c r="N1053" s="1477"/>
    </row>
    <row r="1054" spans="1:14">
      <c r="A1054" s="531" t="str">
        <f>$A1024</f>
        <v>Mortgage A</v>
      </c>
      <c r="B1054" s="1601">
        <v>0</v>
      </c>
      <c r="C1054" s="1601">
        <v>0</v>
      </c>
      <c r="D1054" s="1601">
        <v>0</v>
      </c>
      <c r="E1054" s="1601">
        <v>0</v>
      </c>
      <c r="F1054" s="1601">
        <v>0</v>
      </c>
      <c r="G1054" s="1601"/>
      <c r="H1054" s="1601"/>
      <c r="I1054" s="1601"/>
      <c r="J1054" s="1601"/>
      <c r="K1054" s="1601"/>
      <c r="M1054" s="1477"/>
      <c r="N1054" s="1477"/>
    </row>
    <row r="1055" spans="1:14">
      <c r="A1055" s="531" t="str">
        <f>$A1025</f>
        <v>Mortgage B</v>
      </c>
      <c r="B1055" s="1601">
        <v>0</v>
      </c>
      <c r="C1055" s="1601">
        <v>0</v>
      </c>
      <c r="D1055" s="1601">
        <v>0</v>
      </c>
      <c r="E1055" s="1601">
        <v>0</v>
      </c>
      <c r="F1055" s="1601">
        <v>0</v>
      </c>
      <c r="G1055" s="1601"/>
      <c r="H1055" s="1601"/>
      <c r="I1055" s="1601"/>
      <c r="J1055" s="1601"/>
      <c r="K1055" s="1601"/>
      <c r="M1055" s="1477"/>
      <c r="N1055" s="1477"/>
    </row>
    <row r="1056" spans="1:14">
      <c r="A1056" s="531" t="str">
        <f>$A1026</f>
        <v>Mortgage C</v>
      </c>
      <c r="B1056" s="1601">
        <v>0</v>
      </c>
      <c r="C1056" s="1601">
        <v>0</v>
      </c>
      <c r="D1056" s="1601">
        <v>0</v>
      </c>
      <c r="E1056" s="1601">
        <v>0</v>
      </c>
      <c r="F1056" s="1601">
        <v>0</v>
      </c>
      <c r="G1056" s="1601"/>
      <c r="H1056" s="1601"/>
      <c r="I1056" s="1601"/>
      <c r="J1056" s="1601"/>
      <c r="K1056" s="1601"/>
      <c r="M1056" s="1477"/>
      <c r="N1056" s="1477"/>
    </row>
    <row r="1057" spans="1:14">
      <c r="A1057" s="531" t="str">
        <f>$A1027</f>
        <v>D/S Other Source</v>
      </c>
      <c r="B1057" s="1601">
        <v>0</v>
      </c>
      <c r="C1057" s="1601">
        <v>0</v>
      </c>
      <c r="D1057" s="1601">
        <v>0</v>
      </c>
      <c r="E1057" s="1601">
        <v>0</v>
      </c>
      <c r="F1057" s="1601">
        <v>0</v>
      </c>
      <c r="G1057" s="1601"/>
      <c r="H1057" s="1601"/>
      <c r="I1057" s="1601"/>
      <c r="J1057" s="1601"/>
      <c r="K1057" s="1601"/>
      <c r="M1057" s="1477"/>
      <c r="N1057" s="1477"/>
    </row>
    <row r="1058" spans="1:14">
      <c r="A1058" s="531" t="s">
        <v>794</v>
      </c>
      <c r="B1058" s="1601">
        <v>0</v>
      </c>
      <c r="C1058" s="1601">
        <v>0</v>
      </c>
      <c r="D1058" s="1601">
        <v>0</v>
      </c>
      <c r="E1058" s="1601">
        <v>0</v>
      </c>
      <c r="F1058" s="1601">
        <v>0</v>
      </c>
      <c r="G1058" s="1601"/>
      <c r="H1058" s="1601"/>
      <c r="I1058" s="1601"/>
      <c r="J1058" s="1601"/>
      <c r="K1058" s="1601"/>
      <c r="M1058" s="1477"/>
      <c r="N1058" s="1477"/>
    </row>
    <row r="1059" spans="1:14">
      <c r="A1059" s="531" t="s">
        <v>1206</v>
      </c>
      <c r="B1059" s="1601">
        <v>0</v>
      </c>
      <c r="C1059" s="1601">
        <v>0</v>
      </c>
      <c r="D1059" s="1601">
        <v>0</v>
      </c>
      <c r="E1059" s="1601">
        <v>0</v>
      </c>
      <c r="F1059" s="1601">
        <v>0</v>
      </c>
      <c r="G1059" s="1601"/>
      <c r="H1059" s="1601"/>
      <c r="I1059" s="1601"/>
      <c r="J1059" s="1601"/>
      <c r="K1059" s="1601"/>
      <c r="M1059" s="1477"/>
      <c r="N1059" s="1477"/>
    </row>
    <row r="1060" spans="1:14">
      <c r="A1060" s="531" t="s">
        <v>1249</v>
      </c>
      <c r="B1060" s="1601">
        <v>0</v>
      </c>
      <c r="C1060" s="1601">
        <v>0</v>
      </c>
      <c r="D1060" s="1601">
        <v>0</v>
      </c>
      <c r="E1060" s="1601">
        <v>0</v>
      </c>
      <c r="F1060" s="1601">
        <v>0</v>
      </c>
      <c r="G1060" s="1601"/>
      <c r="H1060" s="1601"/>
      <c r="I1060" s="1601"/>
      <c r="J1060" s="1601"/>
      <c r="K1060" s="1601"/>
      <c r="M1060" s="1477"/>
      <c r="N1060" s="1477"/>
    </row>
    <row r="1061" spans="1:14">
      <c r="A1061" s="531" t="s">
        <v>1207</v>
      </c>
      <c r="B1061" s="1601" t="e">
        <v>#DIV/0!</v>
      </c>
      <c r="C1061" s="1601" t="e">
        <v>#DIV/0!</v>
      </c>
      <c r="D1061" s="1601" t="e">
        <v>#DIV/0!</v>
      </c>
      <c r="E1061" s="1601" t="e">
        <v>#DIV/0!</v>
      </c>
      <c r="F1061" s="1601" t="e">
        <v>#DIV/0!</v>
      </c>
      <c r="G1061" s="1601"/>
      <c r="H1061" s="1601"/>
      <c r="I1061" s="1601"/>
      <c r="J1061" s="1601"/>
      <c r="K1061" s="1601"/>
      <c r="M1061" s="1477"/>
      <c r="N1061" s="1477"/>
    </row>
    <row r="1062" spans="1:14">
      <c r="A1062" s="531" t="str">
        <f>$A1032</f>
        <v>DCR Mortgage A</v>
      </c>
      <c r="B1062" s="1602" t="str">
        <f>IF(B1054=0,"",-B1053/B1054)</f>
        <v/>
      </c>
      <c r="C1062" s="1602" t="str">
        <f>IF(C1054=0,"",-C1053/C1054)</f>
        <v/>
      </c>
      <c r="D1062" s="1602" t="str">
        <f>IF(D1054=0,"",-D1053/D1054)</f>
        <v/>
      </c>
      <c r="E1062" s="1602" t="str">
        <f>IF(E1054=0,"",-E1053/E1054)</f>
        <v/>
      </c>
      <c r="F1062" s="1602" t="str">
        <f>IF(F1054=0,"",-F1053/F1054)</f>
        <v/>
      </c>
      <c r="G1062" s="1601"/>
      <c r="H1062" s="1601"/>
      <c r="I1062" s="1601"/>
      <c r="J1062" s="1601"/>
      <c r="K1062" s="1601"/>
      <c r="M1062" s="1477"/>
      <c r="N1062" s="1477"/>
    </row>
    <row r="1063" spans="1:14">
      <c r="A1063" s="531" t="str">
        <f>$A1033</f>
        <v>DCR Mortgage B</v>
      </c>
      <c r="B1063" s="1602" t="str">
        <f t="shared" ref="B1063:G1063" si="299">IF(B1055=0,"",-(B1053+B1054)/B1055)</f>
        <v/>
      </c>
      <c r="C1063" s="1602" t="str">
        <f t="shared" si="299"/>
        <v/>
      </c>
      <c r="D1063" s="1602" t="str">
        <f t="shared" si="299"/>
        <v/>
      </c>
      <c r="E1063" s="1602" t="str">
        <f t="shared" si="299"/>
        <v/>
      </c>
      <c r="F1063" s="1602" t="str">
        <f t="shared" si="299"/>
        <v/>
      </c>
      <c r="G1063" s="1601" t="str">
        <f t="shared" si="299"/>
        <v/>
      </c>
      <c r="H1063" s="1601"/>
      <c r="I1063" s="1601"/>
      <c r="J1063" s="1601"/>
      <c r="K1063" s="1601"/>
      <c r="M1063" s="1477"/>
      <c r="N1063" s="1477"/>
    </row>
    <row r="1064" spans="1:14">
      <c r="A1064" s="531" t="str">
        <f>$A1034</f>
        <v>DCR Mortgage C</v>
      </c>
      <c r="B1064" s="1602" t="str">
        <f t="shared" ref="B1064:G1064" si="300">IF(B1056=0,"",-(B1053+B1054+B1055)/B1056)</f>
        <v/>
      </c>
      <c r="C1064" s="1602" t="str">
        <f t="shared" si="300"/>
        <v/>
      </c>
      <c r="D1064" s="1602" t="str">
        <f t="shared" si="300"/>
        <v/>
      </c>
      <c r="E1064" s="1602" t="str">
        <f t="shared" si="300"/>
        <v/>
      </c>
      <c r="F1064" s="1602" t="str">
        <f t="shared" si="300"/>
        <v/>
      </c>
      <c r="G1064" s="1601" t="str">
        <f t="shared" si="300"/>
        <v/>
      </c>
      <c r="H1064" s="1601"/>
      <c r="I1064" s="1601"/>
      <c r="J1064" s="1601"/>
      <c r="K1064" s="1601"/>
      <c r="M1064" s="1477"/>
      <c r="N1064" s="1477"/>
    </row>
    <row r="1065" spans="1:14">
      <c r="A1065" s="531" t="str">
        <f>$A1035</f>
        <v>DCR Other Source</v>
      </c>
      <c r="B1065" s="1602" t="str">
        <f t="shared" ref="B1065:G1065" si="301">IF(B1057=0,"",-(B1053+B1054+B1055+B1056)/B1057)</f>
        <v/>
      </c>
      <c r="C1065" s="1602" t="str">
        <f t="shared" si="301"/>
        <v/>
      </c>
      <c r="D1065" s="1602" t="str">
        <f t="shared" si="301"/>
        <v/>
      </c>
      <c r="E1065" s="1602" t="str">
        <f t="shared" si="301"/>
        <v/>
      </c>
      <c r="F1065" s="1602" t="str">
        <f t="shared" si="301"/>
        <v/>
      </c>
      <c r="G1065" s="1601" t="str">
        <f t="shared" si="301"/>
        <v/>
      </c>
      <c r="H1065" s="1601"/>
      <c r="I1065" s="1601"/>
      <c r="J1065" s="1601"/>
      <c r="K1065" s="1601"/>
      <c r="M1065" s="1477"/>
      <c r="N1065" s="1477"/>
    </row>
    <row r="1066" spans="1:14">
      <c r="A1066" s="472" t="s">
        <v>4200</v>
      </c>
      <c r="B1066" s="1602" t="str">
        <f>IF(AND(B1054=0,B1055=0,B1056=0,B1057=0),"",-B1053/(B1054+B1055+B1056+B1057))</f>
        <v/>
      </c>
      <c r="C1066" s="1602" t="str">
        <f>IF(AND(C1054=0,C1055=0,C1056=0,C1057=0),"",-C1053/(C1054+C1055+C1056+C1057))</f>
        <v/>
      </c>
      <c r="D1066" s="1602" t="str">
        <f>IF(AND(D1054=0,D1055=0,D1056=0,D1057=0),"",-D1053/(D1054+D1055+D1056+D1057))</f>
        <v/>
      </c>
      <c r="E1066" s="1602" t="str">
        <f>IF(AND(E1054=0,E1055=0,E1056=0,E1057=0),"",-E1053/(E1054+E1055+E1056+E1057))</f>
        <v/>
      </c>
      <c r="F1066" s="1602" t="str">
        <f>IF(AND(F1054=0,F1055=0,F1056=0,F1057=0),"",-F1053/(F1054+F1055+F1056+F1057))</f>
        <v/>
      </c>
      <c r="G1066" s="1601"/>
      <c r="H1066" s="1601"/>
      <c r="I1066" s="1601"/>
      <c r="J1066" s="1601"/>
      <c r="K1066" s="1601"/>
      <c r="M1066" s="1477"/>
      <c r="N1066" s="1477"/>
    </row>
    <row r="1067" spans="1:14">
      <c r="A1067" s="531" t="s">
        <v>801</v>
      </c>
      <c r="B1067" s="1603" t="str">
        <f>IF(OR(B1051="Choose mgt fee",B1051="Choose One!"),"",(B1045+B1046+B1047+B1048+B1049) / -(B1050+B1051+B1052))</f>
        <v/>
      </c>
      <c r="C1067" s="1603" t="str">
        <f>IF(OR(C1051="Choose mgt fee",C1051="Choose One!"),"",(C1045+C1046+C1047+C1048+C1049) / -(C1050+C1051+C1052))</f>
        <v/>
      </c>
      <c r="D1067" s="1603" t="str">
        <f>IF(OR(D1051="Choose mgt fee",D1051="Choose One!"),"",(D1045+D1046+D1047+D1048+D1049) / -(D1050+D1051+D1052))</f>
        <v/>
      </c>
      <c r="E1067" s="1603" t="str">
        <f>IF(OR(E1051="Choose mgt fee",E1051="Choose One!"),"",(E1045+E1046+E1047+E1048+E1049) / -(E1050+E1051+E1052))</f>
        <v/>
      </c>
      <c r="F1067" s="1603" t="str">
        <f>IF(OR(F1051="Choose mgt fee",F1051="Choose One!"),"",(F1045+F1046+F1047+F1048+F1049) / -(F1050+F1051+F1052))</f>
        <v/>
      </c>
      <c r="G1067" s="1601"/>
      <c r="H1067" s="1601"/>
      <c r="I1067" s="1601"/>
      <c r="J1067" s="1601"/>
      <c r="K1067" s="1601"/>
      <c r="M1067" s="1477"/>
      <c r="N1067" s="1477"/>
    </row>
    <row r="1068" spans="1:14">
      <c r="A1068" s="531" t="s">
        <v>2705</v>
      </c>
      <c r="B1068" s="1601">
        <f>'Part VII-Pro Forma'!B127</f>
        <v>4353143.6782044517</v>
      </c>
      <c r="C1068" s="1601">
        <f>'Part VII-Pro Forma'!C127</f>
        <v>3943050.1641339064</v>
      </c>
      <c r="D1068" s="1601">
        <f>'Part VII-Pro Forma'!D127</f>
        <v>3516248.8075587284</v>
      </c>
      <c r="E1068" s="1601">
        <f>'Part VII-Pro Forma'!E127</f>
        <v>3072058.9051964181</v>
      </c>
      <c r="F1068" s="1601">
        <f>'Part VII-Pro Forma'!F127</f>
        <v>2609772.020862476</v>
      </c>
      <c r="G1068" s="1601"/>
      <c r="H1068" s="1601"/>
      <c r="I1068" s="1601"/>
      <c r="J1068" s="1601"/>
      <c r="K1068" s="1601"/>
      <c r="M1068" s="1477"/>
      <c r="N1068" s="1477"/>
    </row>
    <row r="1069" spans="1:14">
      <c r="A1069" s="531" t="s">
        <v>2706</v>
      </c>
      <c r="B1069" s="1601" t="str">
        <f>'Part VII-Pro Forma'!B128</f>
        <v/>
      </c>
      <c r="C1069" s="1601" t="str">
        <f>'Part VII-Pro Forma'!C128</f>
        <v/>
      </c>
      <c r="D1069" s="1601" t="str">
        <f>'Part VII-Pro Forma'!D128</f>
        <v/>
      </c>
      <c r="E1069" s="1601" t="str">
        <f>'Part VII-Pro Forma'!E128</f>
        <v/>
      </c>
      <c r="F1069" s="1601" t="str">
        <f>'Part VII-Pro Forma'!F128</f>
        <v/>
      </c>
      <c r="G1069" s="1601"/>
      <c r="H1069" s="1601"/>
      <c r="I1069" s="1601"/>
      <c r="J1069" s="1601"/>
      <c r="K1069" s="1601"/>
      <c r="M1069" s="1477"/>
      <c r="N1069" s="1477"/>
    </row>
    <row r="1070" spans="1:14">
      <c r="A1070" s="531" t="s">
        <v>2707</v>
      </c>
      <c r="B1070" s="1601" t="str">
        <f>'Part VII-Pro Forma'!B129</f>
        <v/>
      </c>
      <c r="C1070" s="1601" t="str">
        <f>'Part VII-Pro Forma'!C129</f>
        <v/>
      </c>
      <c r="D1070" s="1601" t="str">
        <f>'Part VII-Pro Forma'!D129</f>
        <v/>
      </c>
      <c r="E1070" s="1601" t="str">
        <f>'Part VII-Pro Forma'!E129</f>
        <v/>
      </c>
      <c r="F1070" s="1601" t="str">
        <f>'Part VII-Pro Forma'!F129</f>
        <v/>
      </c>
      <c r="G1070" s="1601"/>
      <c r="H1070" s="1601"/>
      <c r="I1070" s="1601"/>
      <c r="J1070" s="1601"/>
      <c r="K1070" s="1601"/>
      <c r="M1070" s="1477"/>
      <c r="N1070" s="1477"/>
    </row>
    <row r="1071" spans="1:14">
      <c r="A1071" s="531" t="s">
        <v>816</v>
      </c>
      <c r="B1071" s="1601" t="str">
        <f>'Part VII-Pro Forma'!B130</f>
        <v/>
      </c>
      <c r="C1071" s="1601" t="str">
        <f>'Part VII-Pro Forma'!C130</f>
        <v/>
      </c>
      <c r="D1071" s="1601" t="str">
        <f>'Part VII-Pro Forma'!D130</f>
        <v/>
      </c>
      <c r="E1071" s="1601" t="str">
        <f>'Part VII-Pro Forma'!E130</f>
        <v/>
      </c>
      <c r="F1071" s="1601" t="str">
        <f>'Part VII-Pro Forma'!F130</f>
        <v/>
      </c>
      <c r="G1071" s="1601"/>
      <c r="H1071" s="1601"/>
      <c r="I1071" s="1601"/>
      <c r="J1071" s="1601"/>
      <c r="K1071" s="1601"/>
      <c r="M1071" s="1477"/>
      <c r="N1071" s="1477"/>
    </row>
    <row r="1072" spans="1:14">
      <c r="A1072" s="531" t="s">
        <v>1284</v>
      </c>
      <c r="B1072" s="1601">
        <f>'Part VII-Pro Forma'!B131</f>
        <v>0</v>
      </c>
      <c r="C1072" s="1601">
        <f>'Part VII-Pro Forma'!C131</f>
        <v>0</v>
      </c>
      <c r="D1072" s="1601">
        <f>'Part VII-Pro Forma'!D131</f>
        <v>0</v>
      </c>
      <c r="E1072" s="1601">
        <f>'Part VII-Pro Forma'!E131</f>
        <v>0</v>
      </c>
      <c r="F1072" s="1601">
        <f>'Part VII-Pro Forma'!F131</f>
        <v>0</v>
      </c>
      <c r="G1072" s="1601"/>
      <c r="H1072" s="1601"/>
      <c r="I1072" s="1601"/>
      <c r="J1072" s="1601"/>
      <c r="K1072" s="1601"/>
      <c r="M1072" s="1477"/>
      <c r="N1072" s="1477"/>
    </row>
    <row r="1074" spans="1:17">
      <c r="A1074" s="29" t="s">
        <v>592</v>
      </c>
      <c r="B1074" s="29"/>
      <c r="G1074" s="29" t="s">
        <v>1068</v>
      </c>
    </row>
    <row r="1075" spans="1:17">
      <c r="B1075" s="1532"/>
    </row>
    <row r="1076" spans="1:17" ht="15.75" customHeight="1">
      <c r="A1076" s="1452" t="str">
        <f>'Part VII-Pro Forma'!A135</f>
        <v>There are no debt payments that deviate from DCA's estimated payments.  All assumptions reflected on the proforma meet DCA's underwriting criteria.</v>
      </c>
      <c r="B1076" s="1452"/>
      <c r="C1076" s="1452"/>
      <c r="D1076" s="1452"/>
      <c r="E1076" s="1452"/>
      <c r="F1076" s="1452"/>
      <c r="G1076" s="1452">
        <f>'Part VII-Pro Forma'!G135</f>
        <v>0</v>
      </c>
      <c r="H1076" s="1452"/>
      <c r="I1076" s="1452"/>
      <c r="J1076" s="1452"/>
      <c r="K1076" s="1452"/>
      <c r="M1076" s="1516" t="s">
        <v>2796</v>
      </c>
      <c r="N1076" s="1516"/>
    </row>
    <row r="1086" spans="1:17">
      <c r="A1086" s="10" t="str">
        <f>CONCATENATE("DRAFT PART EIGHT - THRESHOLD CRITERIA","  -  ",'Part I-Project Information'!$O$4," ",'Part I-Project Information'!$F$24,", ",'Part I-Project Information'!F1027,", ",'Part I-Project Information'!J1028," County")</f>
        <v>DRAFT PART EIGHT - THRESHOLD CRITERIA  -  2016-524 Wheat Street Tower, ,  County</v>
      </c>
      <c r="B1086" s="10"/>
      <c r="C1086" s="10"/>
      <c r="D1086" s="10"/>
      <c r="E1086" s="10"/>
      <c r="F1086" s="10"/>
      <c r="G1086" s="10"/>
      <c r="H1086" s="10"/>
      <c r="I1086" s="10"/>
      <c r="J1086" s="10"/>
      <c r="K1086" s="10"/>
      <c r="L1086" s="10"/>
      <c r="M1086" s="10"/>
      <c r="N1086" s="10"/>
      <c r="O1086" s="10"/>
      <c r="P1086" s="10"/>
      <c r="Q1086" s="10"/>
    </row>
    <row r="1088" spans="1:17" ht="20.25" customHeight="1">
      <c r="A1088" s="1605"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605"/>
      <c r="C1088" s="1605"/>
      <c r="D1088" s="1605"/>
      <c r="E1088" s="1605"/>
      <c r="F1088" s="1605"/>
      <c r="G1088" s="1605"/>
      <c r="H1088" s="1605"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605"/>
      <c r="J1088" s="1605"/>
      <c r="K1088" s="1605"/>
      <c r="L1088" s="1605"/>
      <c r="M1088" s="1605"/>
      <c r="N1088" s="1605"/>
      <c r="O1088" s="1158" t="s">
        <v>968</v>
      </c>
      <c r="P1088" s="1158"/>
      <c r="Q1088" s="1163" t="s">
        <v>1912</v>
      </c>
    </row>
    <row r="1089" spans="1:17">
      <c r="A1089" s="1219"/>
      <c r="B1089" s="1606"/>
      <c r="C1089" s="1606"/>
      <c r="D1089" s="1606"/>
      <c r="E1089" s="1219"/>
      <c r="F1089" s="1219"/>
      <c r="G1089" s="1219"/>
      <c r="H1089" s="1219"/>
      <c r="I1089" s="1219"/>
      <c r="J1089" s="1219"/>
      <c r="K1089" s="1219"/>
      <c r="L1089" s="1219"/>
      <c r="M1089" s="1219"/>
      <c r="N1089" s="1219"/>
      <c r="P1089" s="1219"/>
      <c r="Q1089" s="1219"/>
    </row>
    <row r="1090" spans="1:17">
      <c r="A1090" s="1219"/>
      <c r="B1090" s="1219"/>
      <c r="C1090" s="1219"/>
      <c r="D1090" s="1219"/>
      <c r="E1090" s="1219"/>
      <c r="F1090" s="1219"/>
      <c r="G1090" s="1219"/>
      <c r="H1090" s="1219"/>
      <c r="I1090" s="1219"/>
      <c r="J1090" s="1219"/>
      <c r="K1090" s="1219"/>
      <c r="L1090" s="1219"/>
      <c r="M1090" s="1219"/>
      <c r="N1090" s="1219"/>
      <c r="P1090" s="1219"/>
      <c r="Q1090" s="1219"/>
    </row>
    <row r="1091" spans="1:17" ht="18">
      <c r="A1091" s="1607" t="s">
        <v>586</v>
      </c>
      <c r="J1091" s="1219"/>
      <c r="K1091" s="1219"/>
      <c r="L1091" s="1219"/>
      <c r="M1091" s="1219"/>
      <c r="N1091" s="1219"/>
      <c r="P1091" s="1608">
        <f>'Part VIII-Threshold Criteria'!P6</f>
        <v>0</v>
      </c>
      <c r="Q1091" s="1608"/>
    </row>
    <row r="1092" spans="1:17">
      <c r="A1092" s="137" t="s">
        <v>3695</v>
      </c>
      <c r="J1092" s="1219"/>
      <c r="K1092" s="1219"/>
      <c r="L1092" s="1219"/>
      <c r="M1092" s="1219"/>
      <c r="N1092" s="1219"/>
    </row>
    <row r="1093" spans="1:17">
      <c r="A1093" s="1459" t="str">
        <f>'Part VIII-Threshold Criteria'!A8</f>
        <v xml:space="preserve">1.) </v>
      </c>
      <c r="B1093" s="1459"/>
      <c r="C1093" s="1459"/>
      <c r="D1093" s="1459"/>
      <c r="E1093" s="1459"/>
      <c r="F1093" s="1459"/>
      <c r="G1093" s="1459"/>
      <c r="H1093" s="1459"/>
      <c r="I1093" s="1459"/>
      <c r="J1093" s="1459"/>
      <c r="K1093" s="1459"/>
      <c r="L1093" s="1459"/>
      <c r="M1093" s="1459"/>
      <c r="N1093" s="1459"/>
      <c r="O1093" s="1459"/>
      <c r="P1093" s="1459"/>
      <c r="Q1093" s="1459"/>
    </row>
    <row r="1094" spans="1:17">
      <c r="A1094" s="1459" t="str">
        <f>'Part VIII-Threshold Criteria'!A9</f>
        <v>2.)</v>
      </c>
      <c r="B1094" s="1459"/>
      <c r="C1094" s="1459"/>
      <c r="D1094" s="1459"/>
      <c r="E1094" s="1459"/>
      <c r="F1094" s="1459"/>
      <c r="G1094" s="1459"/>
      <c r="H1094" s="1459"/>
      <c r="I1094" s="1459"/>
      <c r="J1094" s="1459"/>
      <c r="K1094" s="1459"/>
      <c r="L1094" s="1459"/>
      <c r="M1094" s="1459"/>
      <c r="N1094" s="1459"/>
      <c r="O1094" s="1459"/>
      <c r="P1094" s="1459"/>
      <c r="Q1094" s="1459"/>
    </row>
    <row r="1095" spans="1:17">
      <c r="A1095" s="1459" t="str">
        <f>'Part VIII-Threshold Criteria'!A10</f>
        <v>3.)</v>
      </c>
      <c r="B1095" s="1459"/>
      <c r="C1095" s="1459"/>
      <c r="D1095" s="1459"/>
      <c r="E1095" s="1459"/>
      <c r="F1095" s="1459"/>
      <c r="G1095" s="1459"/>
      <c r="H1095" s="1459"/>
      <c r="I1095" s="1459"/>
      <c r="J1095" s="1459"/>
      <c r="K1095" s="1459"/>
      <c r="L1095" s="1459"/>
      <c r="M1095" s="1459"/>
      <c r="N1095" s="1459"/>
      <c r="O1095" s="1459"/>
      <c r="P1095" s="1459"/>
      <c r="Q1095" s="1459"/>
    </row>
    <row r="1096" spans="1:17">
      <c r="A1096" s="1459" t="str">
        <f>'Part VIII-Threshold Criteria'!A11</f>
        <v>4.)</v>
      </c>
      <c r="B1096" s="1459"/>
      <c r="C1096" s="1459"/>
      <c r="D1096" s="1459"/>
      <c r="E1096" s="1459"/>
      <c r="F1096" s="1459"/>
      <c r="G1096" s="1459"/>
      <c r="H1096" s="1459"/>
      <c r="I1096" s="1459"/>
      <c r="J1096" s="1459"/>
      <c r="K1096" s="1459"/>
      <c r="L1096" s="1459"/>
      <c r="M1096" s="1459"/>
      <c r="N1096" s="1459"/>
      <c r="O1096" s="1459"/>
      <c r="P1096" s="1459"/>
      <c r="Q1096" s="1459"/>
    </row>
    <row r="1097" spans="1:17">
      <c r="A1097" s="1459" t="str">
        <f>'Part VIII-Threshold Criteria'!A12</f>
        <v>5.)</v>
      </c>
      <c r="B1097" s="1459"/>
      <c r="C1097" s="1459"/>
      <c r="D1097" s="1459"/>
      <c r="E1097" s="1459"/>
      <c r="F1097" s="1459"/>
      <c r="G1097" s="1459"/>
      <c r="H1097" s="1459"/>
      <c r="I1097" s="1459"/>
      <c r="J1097" s="1459"/>
      <c r="K1097" s="1459"/>
      <c r="L1097" s="1459"/>
      <c r="M1097" s="1459"/>
      <c r="N1097" s="1459"/>
      <c r="O1097" s="1459"/>
      <c r="P1097" s="1459"/>
      <c r="Q1097" s="1459"/>
    </row>
    <row r="1098" spans="1:17">
      <c r="A1098" s="1459" t="str">
        <f>'Part VIII-Threshold Criteria'!A13</f>
        <v>6.)</v>
      </c>
      <c r="B1098" s="1459"/>
      <c r="C1098" s="1459"/>
      <c r="D1098" s="1459"/>
      <c r="E1098" s="1459"/>
      <c r="F1098" s="1459"/>
      <c r="G1098" s="1459"/>
      <c r="H1098" s="1459"/>
      <c r="I1098" s="1459"/>
      <c r="J1098" s="1459"/>
      <c r="K1098" s="1459"/>
      <c r="L1098" s="1459"/>
      <c r="M1098" s="1459"/>
      <c r="N1098" s="1459"/>
      <c r="O1098" s="1459"/>
      <c r="P1098" s="1459"/>
      <c r="Q1098" s="1459"/>
    </row>
    <row r="1099" spans="1:17">
      <c r="A1099" s="1459" t="str">
        <f>'Part VIII-Threshold Criteria'!A14</f>
        <v>7.)</v>
      </c>
      <c r="B1099" s="1459"/>
      <c r="C1099" s="1459"/>
      <c r="D1099" s="1459"/>
      <c r="E1099" s="1459"/>
      <c r="F1099" s="1459"/>
      <c r="G1099" s="1459"/>
      <c r="H1099" s="1459"/>
      <c r="I1099" s="1459"/>
      <c r="J1099" s="1459"/>
      <c r="K1099" s="1459"/>
      <c r="L1099" s="1459"/>
      <c r="M1099" s="1459"/>
      <c r="N1099" s="1459"/>
      <c r="O1099" s="1459"/>
      <c r="P1099" s="1459"/>
      <c r="Q1099" s="1459"/>
    </row>
    <row r="1100" spans="1:17">
      <c r="A1100" s="1459" t="str">
        <f>'Part VIII-Threshold Criteria'!A15</f>
        <v xml:space="preserve">8.) </v>
      </c>
      <c r="B1100" s="1459"/>
      <c r="C1100" s="1459"/>
      <c r="D1100" s="1459"/>
      <c r="E1100" s="1459"/>
      <c r="F1100" s="1459"/>
      <c r="G1100" s="1459"/>
      <c r="H1100" s="1459"/>
      <c r="I1100" s="1459"/>
      <c r="J1100" s="1459"/>
      <c r="K1100" s="1459"/>
      <c r="L1100" s="1459"/>
      <c r="M1100" s="1459"/>
      <c r="N1100" s="1459"/>
      <c r="O1100" s="1459"/>
      <c r="P1100" s="1459"/>
      <c r="Q1100" s="1459"/>
    </row>
    <row r="1101" spans="1:17">
      <c r="A1101" s="1459" t="str">
        <f>'Part VIII-Threshold Criteria'!A16</f>
        <v>9.)</v>
      </c>
      <c r="B1101" s="1459"/>
      <c r="C1101" s="1459"/>
      <c r="D1101" s="1459"/>
      <c r="E1101" s="1459"/>
      <c r="F1101" s="1459"/>
      <c r="G1101" s="1459"/>
      <c r="H1101" s="1459"/>
      <c r="I1101" s="1459"/>
      <c r="J1101" s="1459"/>
      <c r="K1101" s="1459"/>
      <c r="L1101" s="1459"/>
      <c r="M1101" s="1459"/>
      <c r="N1101" s="1459"/>
      <c r="O1101" s="1459"/>
      <c r="P1101" s="1459"/>
      <c r="Q1101" s="1459"/>
    </row>
    <row r="1102" spans="1:17">
      <c r="A1102" s="1459" t="str">
        <f>'Part VIII-Threshold Criteria'!A17</f>
        <v>10.)</v>
      </c>
      <c r="B1102" s="1459"/>
      <c r="C1102" s="1459"/>
      <c r="D1102" s="1459"/>
      <c r="E1102" s="1459"/>
      <c r="F1102" s="1459"/>
      <c r="G1102" s="1459"/>
      <c r="H1102" s="1459"/>
      <c r="I1102" s="1459"/>
      <c r="J1102" s="1459"/>
      <c r="K1102" s="1459"/>
      <c r="L1102" s="1459"/>
      <c r="M1102" s="1459"/>
      <c r="N1102" s="1459"/>
      <c r="O1102" s="1459"/>
      <c r="P1102" s="1459"/>
      <c r="Q1102" s="1459"/>
    </row>
    <row r="1103" spans="1:17">
      <c r="A1103" s="1459" t="str">
        <f>'Part VIII-Threshold Criteria'!A18</f>
        <v>11.)</v>
      </c>
      <c r="B1103" s="1459"/>
      <c r="C1103" s="1459"/>
      <c r="D1103" s="1459"/>
      <c r="E1103" s="1459"/>
      <c r="F1103" s="1459"/>
      <c r="G1103" s="1459"/>
      <c r="H1103" s="1459"/>
      <c r="I1103" s="1459"/>
      <c r="J1103" s="1459"/>
      <c r="K1103" s="1459"/>
      <c r="L1103" s="1459"/>
      <c r="M1103" s="1459"/>
      <c r="N1103" s="1459"/>
      <c r="O1103" s="1459"/>
      <c r="P1103" s="1459"/>
      <c r="Q1103" s="1459"/>
    </row>
    <row r="1104" spans="1:17">
      <c r="A1104" s="1459" t="str">
        <f>'Part VIII-Threshold Criteria'!A19</f>
        <v>12.)</v>
      </c>
      <c r="B1104" s="1459"/>
      <c r="C1104" s="1459"/>
      <c r="D1104" s="1459"/>
      <c r="E1104" s="1459"/>
      <c r="F1104" s="1459"/>
      <c r="G1104" s="1459"/>
      <c r="H1104" s="1459"/>
      <c r="I1104" s="1459"/>
      <c r="J1104" s="1459"/>
      <c r="K1104" s="1459"/>
      <c r="L1104" s="1459"/>
      <c r="M1104" s="1459"/>
      <c r="N1104" s="1459"/>
      <c r="O1104" s="1459"/>
      <c r="P1104" s="1459"/>
      <c r="Q1104" s="1459"/>
    </row>
    <row r="1105" spans="1:17">
      <c r="A1105" s="1459" t="str">
        <f>'Part VIII-Threshold Criteria'!A20</f>
        <v>13.)</v>
      </c>
      <c r="B1105" s="1459"/>
      <c r="C1105" s="1459"/>
      <c r="D1105" s="1459"/>
      <c r="E1105" s="1459"/>
      <c r="F1105" s="1459"/>
      <c r="G1105" s="1459"/>
      <c r="H1105" s="1459"/>
      <c r="I1105" s="1459"/>
      <c r="J1105" s="1459"/>
      <c r="K1105" s="1459"/>
      <c r="L1105" s="1459"/>
      <c r="M1105" s="1459"/>
      <c r="N1105" s="1459"/>
      <c r="O1105" s="1459"/>
      <c r="P1105" s="1459"/>
      <c r="Q1105" s="1459"/>
    </row>
    <row r="1106" spans="1:17">
      <c r="A1106" s="1459" t="str">
        <f>'Part VIII-Threshold Criteria'!A21</f>
        <v>14.)</v>
      </c>
      <c r="B1106" s="1459"/>
      <c r="C1106" s="1459"/>
      <c r="D1106" s="1459"/>
      <c r="E1106" s="1459"/>
      <c r="F1106" s="1459"/>
      <c r="G1106" s="1459"/>
      <c r="H1106" s="1459"/>
      <c r="I1106" s="1459"/>
      <c r="J1106" s="1459"/>
      <c r="K1106" s="1459"/>
      <c r="L1106" s="1459"/>
      <c r="M1106" s="1459"/>
      <c r="N1106" s="1459"/>
      <c r="O1106" s="1459"/>
      <c r="P1106" s="1459"/>
      <c r="Q1106" s="1459"/>
    </row>
    <row r="1107" spans="1:17">
      <c r="A1107" s="1459" t="str">
        <f>'Part VIII-Threshold Criteria'!A22</f>
        <v xml:space="preserve">15.) </v>
      </c>
      <c r="B1107" s="1459"/>
      <c r="C1107" s="1459"/>
      <c r="D1107" s="1459"/>
      <c r="E1107" s="1459"/>
      <c r="F1107" s="1459"/>
      <c r="G1107" s="1459"/>
      <c r="H1107" s="1459"/>
      <c r="I1107" s="1459"/>
      <c r="J1107" s="1459"/>
      <c r="K1107" s="1459"/>
      <c r="L1107" s="1459"/>
      <c r="M1107" s="1459"/>
      <c r="N1107" s="1459"/>
      <c r="O1107" s="1459"/>
      <c r="P1107" s="1459"/>
      <c r="Q1107" s="1459"/>
    </row>
    <row r="1108" spans="1:17">
      <c r="A1108" s="1459" t="str">
        <f>'Part VIII-Threshold Criteria'!A23</f>
        <v>16.)</v>
      </c>
      <c r="B1108" s="1459"/>
      <c r="C1108" s="1459"/>
      <c r="D1108" s="1459"/>
      <c r="E1108" s="1459"/>
      <c r="F1108" s="1459"/>
      <c r="G1108" s="1459"/>
      <c r="H1108" s="1459"/>
      <c r="I1108" s="1459"/>
      <c r="J1108" s="1459"/>
      <c r="K1108" s="1459"/>
      <c r="L1108" s="1459"/>
      <c r="M1108" s="1459"/>
      <c r="N1108" s="1459"/>
      <c r="O1108" s="1459"/>
      <c r="P1108" s="1459"/>
      <c r="Q1108" s="1459"/>
    </row>
    <row r="1109" spans="1:17">
      <c r="A1109" s="1459" t="str">
        <f>'Part VIII-Threshold Criteria'!A24</f>
        <v>17.)</v>
      </c>
      <c r="B1109" s="1459"/>
      <c r="C1109" s="1459"/>
      <c r="D1109" s="1459"/>
      <c r="E1109" s="1459"/>
      <c r="F1109" s="1459"/>
      <c r="G1109" s="1459"/>
      <c r="H1109" s="1459"/>
      <c r="I1109" s="1459"/>
      <c r="J1109" s="1459"/>
      <c r="K1109" s="1459"/>
      <c r="L1109" s="1459"/>
      <c r="M1109" s="1459"/>
      <c r="N1109" s="1459"/>
      <c r="O1109" s="1459"/>
      <c r="P1109" s="1459"/>
      <c r="Q1109" s="1459"/>
    </row>
    <row r="1110" spans="1:17">
      <c r="A1110" s="1459" t="str">
        <f>'Part VIII-Threshold Criteria'!A25</f>
        <v>18.)</v>
      </c>
      <c r="B1110" s="1459"/>
      <c r="C1110" s="1459"/>
      <c r="D1110" s="1459"/>
      <c r="E1110" s="1459"/>
      <c r="F1110" s="1459"/>
      <c r="G1110" s="1459"/>
      <c r="H1110" s="1459"/>
      <c r="I1110" s="1459"/>
      <c r="J1110" s="1459"/>
      <c r="K1110" s="1459"/>
      <c r="L1110" s="1459"/>
      <c r="M1110" s="1459"/>
      <c r="N1110" s="1459"/>
      <c r="O1110" s="1459"/>
      <c r="P1110" s="1459"/>
      <c r="Q1110" s="1459"/>
    </row>
    <row r="1111" spans="1:17">
      <c r="A1111" s="1459" t="str">
        <f>'Part VIII-Threshold Criteria'!A26</f>
        <v>19.)</v>
      </c>
      <c r="B1111" s="1459"/>
      <c r="C1111" s="1459"/>
      <c r="D1111" s="1459"/>
      <c r="E1111" s="1459"/>
      <c r="F1111" s="1459"/>
      <c r="G1111" s="1459"/>
      <c r="H1111" s="1459"/>
      <c r="I1111" s="1459"/>
      <c r="J1111" s="1459"/>
      <c r="K1111" s="1459"/>
      <c r="L1111" s="1459"/>
      <c r="M1111" s="1459"/>
      <c r="N1111" s="1459"/>
      <c r="O1111" s="1459"/>
      <c r="P1111" s="1459"/>
      <c r="Q1111" s="1459"/>
    </row>
    <row r="1112" spans="1:17">
      <c r="A1112" s="1459" t="str">
        <f>'Part VIII-Threshold Criteria'!A27</f>
        <v>20.)</v>
      </c>
      <c r="B1112" s="1459"/>
      <c r="C1112" s="1459"/>
      <c r="D1112" s="1459"/>
      <c r="E1112" s="1459"/>
      <c r="F1112" s="1459"/>
      <c r="G1112" s="1459"/>
      <c r="H1112" s="1459"/>
      <c r="I1112" s="1459"/>
      <c r="J1112" s="1459"/>
      <c r="K1112" s="1459"/>
      <c r="L1112" s="1459"/>
      <c r="M1112" s="1459"/>
      <c r="N1112" s="1459"/>
      <c r="O1112" s="1459"/>
      <c r="P1112" s="1459"/>
      <c r="Q1112" s="1459"/>
    </row>
    <row r="1114" spans="1:17">
      <c r="A1114" s="1609">
        <v>1</v>
      </c>
      <c r="B1114" s="1610" t="s">
        <v>2744</v>
      </c>
      <c r="C1114" s="1326"/>
      <c r="D1114" s="234"/>
      <c r="E1114" s="234"/>
      <c r="F1114" s="234"/>
      <c r="G1114" s="234"/>
      <c r="I1114" s="1407"/>
      <c r="J1114" s="1407"/>
      <c r="K1114" s="1407"/>
      <c r="L1114" s="1219"/>
      <c r="M1114" s="1219"/>
      <c r="O1114" s="142" t="s">
        <v>1938</v>
      </c>
      <c r="P1114" s="1159">
        <f>'Part VIII-Threshold Criteria'!P29</f>
        <v>0</v>
      </c>
      <c r="Q1114" s="1159"/>
    </row>
    <row r="1116" spans="1:17">
      <c r="B1116" s="1611" t="s">
        <v>2058</v>
      </c>
      <c r="C1116" s="54" t="s">
        <v>4170</v>
      </c>
      <c r="E1116" s="1220"/>
      <c r="F1116" s="1220"/>
      <c r="G1116" s="1220"/>
      <c r="H1116" s="1220"/>
      <c r="I1116" s="533"/>
      <c r="J1116" s="533"/>
      <c r="K1116" s="533"/>
      <c r="L1116" s="533"/>
      <c r="M1116" s="533"/>
      <c r="O1116" s="69" t="s">
        <v>618</v>
      </c>
      <c r="P1116" s="1218" t="str">
        <f>'Part VIII-Threshold Criteria'!P31</f>
        <v>No</v>
      </c>
      <c r="Q1116" s="1218">
        <f>'Part VIII-Threshold Criteria'!Q31</f>
        <v>0</v>
      </c>
    </row>
    <row r="1117" spans="1:17">
      <c r="B1117" s="67" t="s">
        <v>2061</v>
      </c>
      <c r="C1117" s="54" t="s">
        <v>746</v>
      </c>
      <c r="E1117" s="1220"/>
      <c r="F1117" s="1220"/>
      <c r="G1117" s="1220"/>
      <c r="H1117" s="1220"/>
      <c r="J1117" s="1159" t="str">
        <f>'Part VIII-Threshold Criteria'!J32</f>
        <v>&lt;&lt; Select &gt;&gt;</v>
      </c>
      <c r="K1117" s="1159"/>
      <c r="L1117" s="1159"/>
      <c r="M1117" s="1159"/>
      <c r="N1117" s="1159"/>
      <c r="O1117" s="69"/>
      <c r="P1117" s="69"/>
      <c r="Q1117" s="69"/>
    </row>
    <row r="1118" spans="1:17">
      <c r="B1118" s="71" t="s">
        <v>1936</v>
      </c>
      <c r="C1118" s="71"/>
      <c r="D1118" s="71"/>
      <c r="E1118" s="71"/>
      <c r="F1118" s="71"/>
      <c r="G1118" s="1407"/>
      <c r="H1118" s="1407"/>
      <c r="I1118" s="1407"/>
      <c r="J1118" s="1407"/>
      <c r="K1118" s="1219"/>
      <c r="L1118" s="1219"/>
      <c r="M1118" s="1219"/>
      <c r="N1118" s="1219"/>
      <c r="O1118" s="1219"/>
      <c r="P1118" s="1219"/>
    </row>
    <row r="1119" spans="1:17" ht="146.25">
      <c r="A1119" s="1221" t="str">
        <f>'Part VIII-Threshold Criteria'!A34</f>
        <v>All commitment letters have been included in Tab 1. There are no commitments that are "under consideration".</v>
      </c>
      <c r="B1119" s="1221"/>
      <c r="C1119" s="1221"/>
      <c r="D1119" s="1221"/>
      <c r="E1119" s="1221"/>
      <c r="F1119" s="1221"/>
      <c r="G1119" s="1221"/>
      <c r="H1119" s="1221"/>
      <c r="I1119" s="1221"/>
      <c r="J1119" s="1221"/>
      <c r="K1119" s="1221"/>
      <c r="L1119" s="1221"/>
      <c r="M1119" s="1221"/>
      <c r="N1119" s="1221"/>
      <c r="O1119" s="1221"/>
      <c r="P1119" s="1221"/>
      <c r="Q1119" s="1221"/>
    </row>
    <row r="1120" spans="1:17">
      <c r="B1120" s="147" t="s">
        <v>1937</v>
      </c>
      <c r="C1120" s="148"/>
      <c r="D1120" s="1400"/>
      <c r="E1120" s="1400"/>
      <c r="F1120" s="1400"/>
      <c r="G1120" s="1400"/>
      <c r="H1120" s="1400"/>
      <c r="I1120" s="1400"/>
      <c r="J1120" s="1400"/>
      <c r="K1120" s="1400"/>
      <c r="L1120" s="1400"/>
      <c r="M1120" s="1400"/>
      <c r="N1120" s="1400"/>
      <c r="O1120" s="1400"/>
      <c r="P1120" s="1400"/>
    </row>
    <row r="1121" spans="1:17">
      <c r="A1121" s="1221">
        <f>'Part VIII-Threshold Criteria'!A36</f>
        <v>0</v>
      </c>
      <c r="B1121" s="1221"/>
      <c r="C1121" s="1221"/>
      <c r="D1121" s="1221"/>
      <c r="E1121" s="1221"/>
      <c r="F1121" s="1221"/>
      <c r="G1121" s="1221"/>
      <c r="H1121" s="1221"/>
      <c r="I1121" s="1221"/>
      <c r="J1121" s="1221"/>
      <c r="K1121" s="1221"/>
      <c r="L1121" s="1221"/>
      <c r="M1121" s="1221"/>
      <c r="N1121" s="1221"/>
      <c r="O1121" s="1221"/>
      <c r="P1121" s="1221"/>
      <c r="Q1121" s="1221"/>
    </row>
    <row r="1122" spans="1:17">
      <c r="B1122" s="1407"/>
      <c r="C1122" s="1400"/>
      <c r="D1122" s="1400"/>
      <c r="E1122" s="1400"/>
      <c r="F1122" s="1400"/>
      <c r="G1122" s="1400"/>
      <c r="H1122" s="1400"/>
      <c r="I1122" s="1400"/>
      <c r="J1122" s="1400"/>
      <c r="K1122" s="1400"/>
      <c r="L1122" s="1400"/>
      <c r="M1122" s="1400"/>
      <c r="N1122" s="1400"/>
      <c r="O1122" s="1400"/>
      <c r="P1122" s="1400"/>
      <c r="Q1122" s="1219"/>
    </row>
    <row r="1123" spans="1:17">
      <c r="A1123" s="2">
        <v>2</v>
      </c>
      <c r="B1123" s="10" t="s">
        <v>2818</v>
      </c>
      <c r="C1123" s="10"/>
      <c r="D1123" s="10"/>
      <c r="E1123" s="1400"/>
      <c r="G1123" s="1159"/>
      <c r="H1123" s="1159"/>
      <c r="I1123" s="1159"/>
      <c r="J1123" s="533"/>
      <c r="L1123" s="1612"/>
      <c r="M1123" s="1612"/>
      <c r="N1123" s="1612"/>
      <c r="O1123" s="142" t="s">
        <v>1938</v>
      </c>
      <c r="P1123" s="1159">
        <f>'Part VIII-Threshold Criteria'!P38</f>
        <v>0</v>
      </c>
      <c r="Q1123" s="1159"/>
    </row>
    <row r="1124" spans="1:17" ht="12.75" customHeight="1">
      <c r="A1124" s="1613" t="s">
        <v>4234</v>
      </c>
      <c r="B1124" s="1613"/>
      <c r="C1124" s="1613"/>
      <c r="D1124" s="1613"/>
      <c r="E1124" s="1613"/>
      <c r="F1124" s="1613"/>
      <c r="G1124" s="1510" t="s">
        <v>2822</v>
      </c>
      <c r="H1124" s="1510"/>
      <c r="I1124" s="234"/>
      <c r="J1124" s="533"/>
      <c r="K1124" s="234" t="s">
        <v>4050</v>
      </c>
      <c r="L1124" s="234"/>
      <c r="M1124" s="234"/>
      <c r="N1124" s="234"/>
    </row>
    <row r="1125" spans="1:17" ht="13.5">
      <c r="A1125" s="1613"/>
      <c r="B1125" s="1613"/>
      <c r="C1125" s="1613"/>
      <c r="D1125" s="1613"/>
      <c r="E1125" s="1613"/>
      <c r="F1125" s="1613"/>
      <c r="G1125" s="1510" t="s">
        <v>359</v>
      </c>
      <c r="H1125" s="1510"/>
      <c r="I1125" s="234"/>
      <c r="J1125" s="533"/>
      <c r="K1125" s="54" t="s">
        <v>4051</v>
      </c>
      <c r="L1125" s="54"/>
      <c r="M1125" s="54"/>
      <c r="N1125" s="54"/>
      <c r="P1125" s="1614" t="s">
        <v>2850</v>
      </c>
      <c r="Q1125" s="1218" t="str">
        <f>'Part VIII-Threshold Criteria'!Q40</f>
        <v>Yes</v>
      </c>
    </row>
    <row r="1126" spans="1:17">
      <c r="A1126" s="1613"/>
      <c r="B1126" s="1613"/>
      <c r="C1126" s="1613"/>
      <c r="D1126" s="1613"/>
      <c r="E1126" s="1613"/>
      <c r="F1126" s="1613"/>
      <c r="G1126" s="234"/>
      <c r="H1126" s="234"/>
      <c r="I1126" s="234"/>
      <c r="J1126" s="533"/>
      <c r="K1126" s="54"/>
      <c r="L1126" s="54"/>
      <c r="M1126" s="54"/>
      <c r="N1126" s="54"/>
    </row>
    <row r="1127" spans="1:17" ht="13.5" customHeight="1">
      <c r="D1127" s="1615" t="s">
        <v>2821</v>
      </c>
      <c r="F1127" s="1616" t="s">
        <v>3698</v>
      </c>
      <c r="G1127" s="1616" t="s">
        <v>3697</v>
      </c>
      <c r="H1127" s="1616"/>
      <c r="I1127" s="1616"/>
      <c r="K1127" s="1616" t="s">
        <v>3698</v>
      </c>
      <c r="L1127" s="1616" t="s">
        <v>3697</v>
      </c>
      <c r="M1127" s="1616"/>
      <c r="N1127" s="1616"/>
    </row>
    <row r="1128" spans="1:17" ht="12.75" customHeight="1">
      <c r="A1128" s="1617" t="s">
        <v>3546</v>
      </c>
      <c r="B1128" s="1617"/>
      <c r="C1128" s="1617"/>
      <c r="D1128" s="1618" t="s">
        <v>587</v>
      </c>
      <c r="E1128" s="1407">
        <v>0</v>
      </c>
      <c r="F1128" s="1619">
        <f>'Part VI-Revenues &amp; Expenses'!$J$104</f>
        <v>0</v>
      </c>
      <c r="G1128" s="1620"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220" t="str">
        <f>CONCATENATE("x ", F1128," units = ")</f>
        <v xml:space="preserve">x 0 units = </v>
      </c>
      <c r="I1128" s="1621" t="e">
        <f>F1128*G1128</f>
        <v>#N/A</v>
      </c>
      <c r="J1128" s="533"/>
      <c r="K1128" s="1619">
        <f>'Part VI-Revenues &amp; Expenses'!$J$105</f>
        <v>0</v>
      </c>
      <c r="L1128" s="1620"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220" t="str">
        <f>CONCATENATE("x ", K1128," units = ")</f>
        <v xml:space="preserve">x 0 units = </v>
      </c>
      <c r="N1128" s="1621" t="e">
        <f>K1128*L1128</f>
        <v>#N/A</v>
      </c>
      <c r="O1128" s="1400"/>
      <c r="P1128" s="1622" t="s">
        <v>3548</v>
      </c>
      <c r="Q1128" s="1622"/>
    </row>
    <row r="1129" spans="1:17">
      <c r="A1129" s="1617"/>
      <c r="B1129" s="1617"/>
      <c r="C1129" s="1617"/>
      <c r="D1129" s="1618" t="s">
        <v>2525</v>
      </c>
      <c r="E1129" s="1407">
        <v>1</v>
      </c>
      <c r="F1129" s="1619">
        <f>'Part VI-Revenues &amp; Expenses'!$K$104</f>
        <v>0</v>
      </c>
      <c r="G1129" s="1620"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220" t="str">
        <f>CONCATENATE("x ", F1129," units = ")</f>
        <v xml:space="preserve">x 0 units = </v>
      </c>
      <c r="I1129" s="1621" t="e">
        <f>F1129*G1129</f>
        <v>#N/A</v>
      </c>
      <c r="J1129" s="533"/>
      <c r="K1129" s="1619">
        <f>'Part VI-Revenues &amp; Expenses'!$K$105</f>
        <v>0</v>
      </c>
      <c r="L1129" s="1620"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220" t="str">
        <f>CONCATENATE("x ", K1129," units = ")</f>
        <v xml:space="preserve">x 0 units = </v>
      </c>
      <c r="N1129" s="1621" t="e">
        <f>K1129*L1129</f>
        <v>#N/A</v>
      </c>
      <c r="O1129" s="1400"/>
      <c r="P1129" s="1622"/>
      <c r="Q1129" s="1622"/>
    </row>
    <row r="1130" spans="1:17">
      <c r="A1130" s="1617"/>
      <c r="B1130" s="1617"/>
      <c r="C1130" s="1617"/>
      <c r="D1130" s="1618" t="s">
        <v>2526</v>
      </c>
      <c r="E1130" s="1407">
        <v>2</v>
      </c>
      <c r="F1130" s="1619">
        <f>'Part VI-Revenues &amp; Expenses'!$L$104</f>
        <v>0</v>
      </c>
      <c r="G1130" s="1620"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220" t="str">
        <f>CONCATENATE("x ", F1130," units = ")</f>
        <v xml:space="preserve">x 0 units = </v>
      </c>
      <c r="I1130" s="1621" t="e">
        <f>F1130*G1130</f>
        <v>#N/A</v>
      </c>
      <c r="J1130" s="533"/>
      <c r="K1130" s="1619">
        <f>'Part VI-Revenues &amp; Expenses'!$L$105</f>
        <v>0</v>
      </c>
      <c r="L1130" s="1620"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220" t="str">
        <f>CONCATENATE("x ", K1130," units = ")</f>
        <v xml:space="preserve">x 0 units = </v>
      </c>
      <c r="N1130" s="1621" t="e">
        <f>K1130*L1130</f>
        <v>#N/A</v>
      </c>
      <c r="O1130" s="1400"/>
      <c r="P1130" s="1622"/>
      <c r="Q1130" s="1622"/>
    </row>
    <row r="1131" spans="1:17">
      <c r="A1131" s="1617"/>
      <c r="B1131" s="1617"/>
      <c r="C1131" s="1617"/>
      <c r="D1131" s="1618" t="s">
        <v>2527</v>
      </c>
      <c r="E1131" s="1407">
        <v>3</v>
      </c>
      <c r="F1131" s="1619">
        <f>'Part VI-Revenues &amp; Expenses'!$M$104</f>
        <v>0</v>
      </c>
      <c r="G1131" s="1620"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220" t="str">
        <f>CONCATENATE("x ", F1131," units = ")</f>
        <v xml:space="preserve">x 0 units = </v>
      </c>
      <c r="I1131" s="1621" t="e">
        <f>F1131*G1131</f>
        <v>#N/A</v>
      </c>
      <c r="J1131" s="533"/>
      <c r="K1131" s="1619">
        <f>'Part VI-Revenues &amp; Expenses'!$M$105</f>
        <v>0</v>
      </c>
      <c r="L1131" s="1620"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220" t="str">
        <f>CONCATENATE("x ", K1131," units = ")</f>
        <v xml:space="preserve">x 0 units = </v>
      </c>
      <c r="N1131" s="1621" t="e">
        <f>K1131*L1131</f>
        <v>#N/A</v>
      </c>
      <c r="O1131" s="1400"/>
      <c r="P1131" s="1612" t="str">
        <f>'Part VIII-Threshold Criteria'!P46</f>
        <v>Atlanta</v>
      </c>
      <c r="Q1131" s="1612"/>
    </row>
    <row r="1132" spans="1:17">
      <c r="C1132" s="533"/>
      <c r="D1132" s="1618" t="s">
        <v>2528</v>
      </c>
      <c r="E1132" s="1407">
        <v>4</v>
      </c>
      <c r="F1132" s="1619">
        <f>'Part VI-Revenues &amp; Expenses'!$N$104</f>
        <v>0</v>
      </c>
      <c r="G1132" s="1620"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220" t="str">
        <f>CONCATENATE("x ", F1132," units = ")</f>
        <v xml:space="preserve">x 0 units = </v>
      </c>
      <c r="I1132" s="1621" t="e">
        <f>F1132*G1132</f>
        <v>#N/A</v>
      </c>
      <c r="J1132" s="533"/>
      <c r="K1132" s="1619">
        <f>'Part VI-Revenues &amp; Expenses'!$N$105</f>
        <v>0</v>
      </c>
      <c r="L1132" s="1620"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220" t="str">
        <f>CONCATENATE("x ", K1132," units = ")</f>
        <v xml:space="preserve">x 0 units = </v>
      </c>
      <c r="N1132" s="1621" t="e">
        <f>K1132*L1132</f>
        <v>#N/A</v>
      </c>
      <c r="O1132" s="1400"/>
      <c r="P1132" s="1612"/>
      <c r="Q1132" s="1612"/>
    </row>
    <row r="1133" spans="1:17" ht="13.5" customHeight="1">
      <c r="C1133" s="533"/>
      <c r="D1133" s="1623" t="s">
        <v>3557</v>
      </c>
      <c r="F1133" s="1624">
        <f>SUM(F1128:F1132)</f>
        <v>0</v>
      </c>
      <c r="G1133" s="1625"/>
      <c r="H1133" s="1626"/>
      <c r="I1133" s="1627" t="e">
        <f>SUM(I1128:I1132)</f>
        <v>#N/A</v>
      </c>
      <c r="J1133" s="1628"/>
      <c r="K1133" s="1624">
        <f>SUM(K1128:K1132)</f>
        <v>0</v>
      </c>
      <c r="L1133" s="1628"/>
      <c r="M1133" s="1626"/>
      <c r="N1133" s="1627" t="e">
        <f>SUM(N1128:N1132)</f>
        <v>#N/A</v>
      </c>
      <c r="O1133" s="1400"/>
      <c r="P1133" s="1221" t="s">
        <v>4045</v>
      </c>
      <c r="Q1133" s="1221"/>
    </row>
    <row r="1134" spans="1:17">
      <c r="C1134" s="533"/>
      <c r="D1134" s="1629"/>
      <c r="E1134" s="1629"/>
      <c r="F1134" s="1144"/>
      <c r="G1134" s="150"/>
      <c r="I1134" s="1144"/>
      <c r="K1134" s="1144"/>
      <c r="M1134" s="1400"/>
      <c r="N1134" s="1144"/>
      <c r="O1134" s="1400"/>
      <c r="P1134" s="1532" t="str">
        <f ca="1">IF('Part IV-Uses of Funds'!$G$131&gt;P1150,"CHECK TDC !!!","")</f>
        <v/>
      </c>
      <c r="Q1134" s="1532"/>
    </row>
    <row r="1135" spans="1:17" ht="12.75" customHeight="1">
      <c r="A1135" s="1617" t="s">
        <v>3541</v>
      </c>
      <c r="B1135" s="1617"/>
      <c r="C1135" s="1617"/>
      <c r="D1135" s="1618" t="s">
        <v>587</v>
      </c>
      <c r="E1135" s="1619">
        <v>0</v>
      </c>
      <c r="F1135" s="1619">
        <f>'Part VI-Revenues &amp; Expenses'!$J$106</f>
        <v>0</v>
      </c>
      <c r="G1135" s="1620"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220" t="str">
        <f>CONCATENATE("x ", F1135," units = ")</f>
        <v xml:space="preserve">x 0 units = </v>
      </c>
      <c r="I1135" s="1621" t="e">
        <f>F1135*G1135</f>
        <v>#N/A</v>
      </c>
      <c r="J1135" s="533"/>
      <c r="K1135" s="1619">
        <f>'Part VI-Revenues &amp; Expenses'!$J$107</f>
        <v>0</v>
      </c>
      <c r="L1135" s="1620"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220" t="str">
        <f>CONCATENATE("x ", K1135," units = ")</f>
        <v xml:space="preserve">x 0 units = </v>
      </c>
      <c r="N1135" s="1621" t="e">
        <f>K1135*L1135</f>
        <v>#N/A</v>
      </c>
      <c r="P1135" s="1630">
        <f ca="1">'Part IV-Uses of Funds'!$G$131</f>
        <v>25231313.324578471</v>
      </c>
      <c r="Q1135" s="1630"/>
    </row>
    <row r="1136" spans="1:17" ht="12.75" customHeight="1">
      <c r="A1136" s="1617"/>
      <c r="B1136" s="1617"/>
      <c r="C1136" s="1617"/>
      <c r="D1136" s="1618" t="s">
        <v>2525</v>
      </c>
      <c r="E1136" s="1407">
        <v>1</v>
      </c>
      <c r="F1136" s="1619">
        <f>'Part VI-Revenues &amp; Expenses'!$K$106</f>
        <v>0</v>
      </c>
      <c r="G1136" s="1620"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220" t="str">
        <f>CONCATENATE("x ", F1136," units = ")</f>
        <v xml:space="preserve">x 0 units = </v>
      </c>
      <c r="I1136" s="1621" t="e">
        <f>F1136*G1136</f>
        <v>#N/A</v>
      </c>
      <c r="J1136" s="533"/>
      <c r="K1136" s="1619">
        <f>'Part VI-Revenues &amp; Expenses'!$K$107</f>
        <v>0</v>
      </c>
      <c r="L1136" s="1620"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220" t="str">
        <f>CONCATENATE("x ", K1136," units = ")</f>
        <v xml:space="preserve">x 0 units = </v>
      </c>
      <c r="N1136" s="1621" t="e">
        <f>K1136*L1136</f>
        <v>#N/A</v>
      </c>
      <c r="P1136" s="1630"/>
      <c r="Q1136" s="1630"/>
    </row>
    <row r="1137" spans="1:17" ht="12.75" customHeight="1">
      <c r="A1137" s="1617"/>
      <c r="B1137" s="1617"/>
      <c r="C1137" s="1617"/>
      <c r="D1137" s="1618" t="s">
        <v>2526</v>
      </c>
      <c r="E1137" s="1407">
        <v>2</v>
      </c>
      <c r="F1137" s="1619">
        <f>'Part VI-Revenues &amp; Expenses'!$L$106</f>
        <v>0</v>
      </c>
      <c r="G1137" s="1620"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220" t="str">
        <f>CONCATENATE("x ", F1137," units = ")</f>
        <v xml:space="preserve">x 0 units = </v>
      </c>
      <c r="I1137" s="1621" t="e">
        <f>F1137*G1137</f>
        <v>#N/A</v>
      </c>
      <c r="J1137" s="533"/>
      <c r="K1137" s="1619">
        <f>'Part VI-Revenues &amp; Expenses'!$L$107</f>
        <v>0</v>
      </c>
      <c r="L1137" s="1620"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220" t="str">
        <f>CONCATENATE("x ", K1137," units = ")</f>
        <v xml:space="preserve">x 0 units = </v>
      </c>
      <c r="N1137" s="1621" t="e">
        <f>K1137*L1137</f>
        <v>#N/A</v>
      </c>
      <c r="O1137" s="1631"/>
      <c r="P1137" s="1221" t="s">
        <v>4052</v>
      </c>
      <c r="Q1137" s="1221"/>
    </row>
    <row r="1138" spans="1:17" ht="12.75" customHeight="1">
      <c r="C1138" s="533"/>
      <c r="D1138" s="1618" t="s">
        <v>2527</v>
      </c>
      <c r="E1138" s="1407">
        <v>3</v>
      </c>
      <c r="F1138" s="1619">
        <f>'Part VI-Revenues &amp; Expenses'!$M$106</f>
        <v>0</v>
      </c>
      <c r="G1138" s="1620"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220" t="str">
        <f>CONCATENATE("x ", F1138," units = ")</f>
        <v xml:space="preserve">x 0 units = </v>
      </c>
      <c r="I1138" s="1621" t="e">
        <f>F1138*G1138</f>
        <v>#N/A</v>
      </c>
      <c r="J1138" s="533"/>
      <c r="K1138" s="1619">
        <f>'Part VI-Revenues &amp; Expenses'!$M$107</f>
        <v>0</v>
      </c>
      <c r="L1138" s="1620"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220" t="str">
        <f>CONCATENATE("x ", K1138," units = ")</f>
        <v xml:space="preserve">x 0 units = </v>
      </c>
      <c r="N1138" s="1621" t="e">
        <f>K1138*L1138</f>
        <v>#N/A</v>
      </c>
      <c r="O1138" s="1631"/>
      <c r="P1138" s="1632">
        <f>'Part VIII-Threshold Criteria'!P53</f>
        <v>0</v>
      </c>
      <c r="Q1138" s="1632"/>
    </row>
    <row r="1139" spans="1:17" ht="12.75" customHeight="1">
      <c r="C1139" s="533"/>
      <c r="D1139" s="1618" t="s">
        <v>2528</v>
      </c>
      <c r="E1139" s="1407">
        <v>4</v>
      </c>
      <c r="F1139" s="1619">
        <f>'Part VI-Revenues &amp; Expenses'!$N$106</f>
        <v>0</v>
      </c>
      <c r="G1139" s="1620"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220" t="str">
        <f>CONCATENATE("x ", F1139," units = ")</f>
        <v xml:space="preserve">x 0 units = </v>
      </c>
      <c r="I1139" s="1621" t="e">
        <f>F1139*G1139</f>
        <v>#N/A</v>
      </c>
      <c r="J1139" s="533"/>
      <c r="K1139" s="1619">
        <f>'Part VI-Revenues &amp; Expenses'!$N$107</f>
        <v>0</v>
      </c>
      <c r="L1139" s="1620"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220" t="str">
        <f>CONCATENATE("x ", K1139," units = ")</f>
        <v xml:space="preserve">x 0 units = </v>
      </c>
      <c r="N1139" s="1621" t="e">
        <f>K1139*L1139</f>
        <v>#N/A</v>
      </c>
      <c r="O1139" s="1631"/>
      <c r="P1139" s="1632"/>
      <c r="Q1139" s="1632"/>
    </row>
    <row r="1140" spans="1:17" ht="13.5">
      <c r="C1140" s="533"/>
      <c r="D1140" s="1623" t="s">
        <v>3557</v>
      </c>
      <c r="F1140" s="1624">
        <f>SUM(F1135:F1139)</f>
        <v>0</v>
      </c>
      <c r="G1140" s="1625"/>
      <c r="H1140" s="1626"/>
      <c r="I1140" s="1627" t="e">
        <f>SUM(I1135:I1139)</f>
        <v>#N/A</v>
      </c>
      <c r="J1140" s="1628"/>
      <c r="K1140" s="1624">
        <f>SUM(K1135:K1139)</f>
        <v>0</v>
      </c>
      <c r="L1140" s="1628"/>
      <c r="M1140" s="1626"/>
      <c r="N1140" s="1627" t="e">
        <f>SUM(N1135:N1139)</f>
        <v>#N/A</v>
      </c>
      <c r="O1140" s="1631"/>
      <c r="P1140" s="54" t="s">
        <v>4043</v>
      </c>
      <c r="Q1140" s="54"/>
    </row>
    <row r="1141" spans="1:17">
      <c r="C1141" s="533"/>
      <c r="D1141" s="1629"/>
      <c r="E1141" s="1629"/>
      <c r="F1141" s="1144"/>
      <c r="G1141" s="150"/>
      <c r="I1141" s="1144"/>
      <c r="K1141" s="1144"/>
      <c r="M1141" s="1400"/>
      <c r="N1141" s="1144"/>
      <c r="O1141" s="1631"/>
    </row>
    <row r="1142" spans="1:17">
      <c r="A1142" s="1510" t="s">
        <v>3542</v>
      </c>
      <c r="C1142" s="533"/>
      <c r="D1142" s="1618" t="s">
        <v>587</v>
      </c>
      <c r="E1142" s="1407">
        <v>0</v>
      </c>
      <c r="F1142" s="1619">
        <f>'Part VI-Revenues &amp; Expenses'!$J$108</f>
        <v>0</v>
      </c>
      <c r="G1142" s="1620"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220" t="str">
        <f>CONCATENATE("x ", F1142," units = ")</f>
        <v xml:space="preserve">x 0 units = </v>
      </c>
      <c r="I1142" s="1621" t="e">
        <f>F1142*G1142</f>
        <v>#N/A</v>
      </c>
      <c r="J1142" s="533"/>
      <c r="K1142" s="1619">
        <f>'Part VI-Revenues &amp; Expenses'!$J$109</f>
        <v>0</v>
      </c>
      <c r="L1142" s="1620"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220" t="str">
        <f>CONCATENATE("x ", K1142," units = ")</f>
        <v xml:space="preserve">x 0 units = </v>
      </c>
      <c r="N1142" s="1621" t="e">
        <f>K1142*L1142</f>
        <v>#N/A</v>
      </c>
      <c r="O1142" s="1631"/>
      <c r="P1142" s="1582">
        <f>'Part IX A-Scoring Criteria'!O1313</f>
        <v>0</v>
      </c>
      <c r="Q1142" s="1582"/>
    </row>
    <row r="1143" spans="1:17">
      <c r="C1143" s="533"/>
      <c r="D1143" s="1618" t="s">
        <v>2525</v>
      </c>
      <c r="E1143" s="1407">
        <v>1</v>
      </c>
      <c r="F1143" s="1619">
        <f>'Part VI-Revenues &amp; Expenses'!$K$108</f>
        <v>0</v>
      </c>
      <c r="G1143" s="1620"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220" t="str">
        <f>CONCATENATE("x ", F1143," units = ")</f>
        <v xml:space="preserve">x 0 units = </v>
      </c>
      <c r="I1143" s="1621" t="e">
        <f>F1143*G1143</f>
        <v>#N/A</v>
      </c>
      <c r="J1143" s="533"/>
      <c r="K1143" s="1619">
        <f>'Part VI-Revenues &amp; Expenses'!$K$109</f>
        <v>0</v>
      </c>
      <c r="L1143" s="1620"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220" t="str">
        <f>CONCATENATE("x ", K1143," units = ")</f>
        <v xml:space="preserve">x 0 units = </v>
      </c>
      <c r="N1143" s="1621" t="e">
        <f>K1143*L1143</f>
        <v>#N/A</v>
      </c>
      <c r="P1143" s="54" t="s">
        <v>4044</v>
      </c>
      <c r="Q1143" s="54"/>
    </row>
    <row r="1144" spans="1:17">
      <c r="C1144" s="533"/>
      <c r="D1144" s="1618" t="s">
        <v>2526</v>
      </c>
      <c r="E1144" s="1407">
        <v>2</v>
      </c>
      <c r="F1144" s="1619">
        <f>'Part VI-Revenues &amp; Expenses'!$L$108</f>
        <v>0</v>
      </c>
      <c r="G1144" s="1620"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220" t="str">
        <f>CONCATENATE("x ", F1144," units = ")</f>
        <v xml:space="preserve">x 0 units = </v>
      </c>
      <c r="I1144" s="1621" t="e">
        <f>F1144*G1144</f>
        <v>#N/A</v>
      </c>
      <c r="J1144" s="533"/>
      <c r="K1144" s="1619">
        <f>'Part VI-Revenues &amp; Expenses'!$L$109</f>
        <v>0</v>
      </c>
      <c r="L1144" s="1620"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220" t="str">
        <f>CONCATENATE("x ", K1144," units = ")</f>
        <v xml:space="preserve">x 0 units = </v>
      </c>
      <c r="N1144" s="1621" t="e">
        <f>K1144*L1144</f>
        <v>#N/A</v>
      </c>
      <c r="P1144" s="1582">
        <f>'Part IX A-Scoring Criteria'!O1059</f>
        <v>0</v>
      </c>
      <c r="Q1144" s="1582"/>
    </row>
    <row r="1145" spans="1:17">
      <c r="C1145" s="533"/>
      <c r="D1145" s="1618" t="s">
        <v>2527</v>
      </c>
      <c r="E1145" s="1407">
        <v>3</v>
      </c>
      <c r="F1145" s="1619">
        <f>'Part VI-Revenues &amp; Expenses'!$M$108</f>
        <v>0</v>
      </c>
      <c r="G1145" s="1620"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220" t="str">
        <f>CONCATENATE("x ", F1145," units = ")</f>
        <v xml:space="preserve">x 0 units = </v>
      </c>
      <c r="I1145" s="1621" t="e">
        <f>F1145*G1145</f>
        <v>#N/A</v>
      </c>
      <c r="J1145" s="533"/>
      <c r="K1145" s="1619">
        <f>'Part VI-Revenues &amp; Expenses'!$M$109</f>
        <v>0</v>
      </c>
      <c r="L1145" s="1620"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220" t="str">
        <f>CONCATENATE("x ", K1145," units = ")</f>
        <v xml:space="preserve">x 0 units = </v>
      </c>
      <c r="N1145" s="1621" t="e">
        <f>K1145*L1145</f>
        <v>#N/A</v>
      </c>
      <c r="O1145" s="1631"/>
    </row>
    <row r="1146" spans="1:17" ht="12.75" customHeight="1">
      <c r="C1146" s="533"/>
      <c r="D1146" s="1618" t="s">
        <v>2528</v>
      </c>
      <c r="E1146" s="1407">
        <v>4</v>
      </c>
      <c r="F1146" s="1619">
        <f>'Part VI-Revenues &amp; Expenses'!$N$108</f>
        <v>0</v>
      </c>
      <c r="G1146" s="1620"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220" t="str">
        <f>CONCATENATE("x ", F1146," units = ")</f>
        <v xml:space="preserve">x 0 units = </v>
      </c>
      <c r="I1146" s="1621" t="e">
        <f>F1146*G1146</f>
        <v>#N/A</v>
      </c>
      <c r="J1146" s="533"/>
      <c r="K1146" s="1619">
        <f>'Part VI-Revenues &amp; Expenses'!$N$109</f>
        <v>0</v>
      </c>
      <c r="L1146" s="1620"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220" t="str">
        <f>CONCATENATE("x ", K1146," units = ")</f>
        <v xml:space="preserve">x 0 units = </v>
      </c>
      <c r="N1146" s="1621" t="e">
        <f>K1146*L1146</f>
        <v>#N/A</v>
      </c>
      <c r="O1146" s="1631"/>
      <c r="P1146" s="1633" t="s">
        <v>2888</v>
      </c>
      <c r="Q1146" s="1633"/>
    </row>
    <row r="1147" spans="1:17" ht="13.5" customHeight="1">
      <c r="C1147" s="533"/>
      <c r="D1147" s="1623" t="s">
        <v>3557</v>
      </c>
      <c r="F1147" s="1624">
        <f>SUM(F1142:F1146)</f>
        <v>0</v>
      </c>
      <c r="G1147" s="1625"/>
      <c r="H1147" s="1626"/>
      <c r="I1147" s="1627" t="e">
        <f>SUM(I1142:I1146)</f>
        <v>#N/A</v>
      </c>
      <c r="J1147" s="1628"/>
      <c r="K1147" s="1624">
        <f>SUM(K1142:K1146)</f>
        <v>0</v>
      </c>
      <c r="L1147" s="1628"/>
      <c r="M1147" s="1626"/>
      <c r="N1147" s="1627" t="e">
        <f>SUM(N1142:N1146)</f>
        <v>#N/A</v>
      </c>
      <c r="O1147" s="1631"/>
      <c r="P1147" s="1633"/>
      <c r="Q1147" s="1633"/>
    </row>
    <row r="1148" spans="1:17" ht="12.75" customHeight="1">
      <c r="C1148" s="533"/>
      <c r="D1148" s="1629"/>
      <c r="E1148" s="1629"/>
      <c r="F1148" s="1144"/>
      <c r="G1148" s="150"/>
      <c r="I1148" s="1144"/>
      <c r="K1148" s="1144"/>
      <c r="M1148" s="1400"/>
      <c r="N1148" s="1144"/>
      <c r="O1148" s="1631"/>
      <c r="P1148" s="1633"/>
      <c r="Q1148" s="1633"/>
    </row>
    <row r="1149" spans="1:17" ht="12.75" customHeight="1">
      <c r="A1149" s="1510" t="s">
        <v>3543</v>
      </c>
      <c r="C1149" s="533"/>
      <c r="D1149" s="1618" t="s">
        <v>587</v>
      </c>
      <c r="E1149" s="1407">
        <v>0</v>
      </c>
      <c r="F1149" s="1619">
        <f>'Part VI-Revenues &amp; Expenses'!$J$110</f>
        <v>3</v>
      </c>
      <c r="G1149" s="1620"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220" t="str">
        <f>CONCATENATE("x ", F1149," units = ")</f>
        <v xml:space="preserve">x 3 units = </v>
      </c>
      <c r="I1149" s="1621" t="e">
        <f>F1149*G1149</f>
        <v>#N/A</v>
      </c>
      <c r="J1149" s="533"/>
      <c r="K1149" s="1619">
        <f>'Part VI-Revenues &amp; Expenses'!$J$111</f>
        <v>0</v>
      </c>
      <c r="L1149" s="1620"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220" t="str">
        <f>CONCATENATE("x ", K1149," units = ")</f>
        <v xml:space="preserve">x 0 units = </v>
      </c>
      <c r="N1149" s="1621" t="e">
        <f>K1149*L1149</f>
        <v>#N/A</v>
      </c>
      <c r="O1149" s="1631"/>
      <c r="P1149" s="1633"/>
      <c r="Q1149" s="1633"/>
    </row>
    <row r="1150" spans="1:17" ht="12.75" customHeight="1">
      <c r="C1150" s="533"/>
      <c r="D1150" s="1618" t="s">
        <v>2525</v>
      </c>
      <c r="E1150" s="1407">
        <v>1</v>
      </c>
      <c r="F1150" s="1619">
        <f>'Part VI-Revenues &amp; Expenses'!$K$110</f>
        <v>205</v>
      </c>
      <c r="G1150" s="1620"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220" t="str">
        <f>CONCATENATE("x ", F1150," units = ")</f>
        <v xml:space="preserve">x 205 units = </v>
      </c>
      <c r="I1150" s="1621" t="e">
        <f>F1150*G1150</f>
        <v>#N/A</v>
      </c>
      <c r="J1150" s="533"/>
      <c r="K1150" s="1619">
        <f>'Part VI-Revenues &amp; Expenses'!$K$111</f>
        <v>0</v>
      </c>
      <c r="L1150" s="1620"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220" t="str">
        <f>CONCATENATE("x ", K1150," units = ")</f>
        <v xml:space="preserve">x 0 units = </v>
      </c>
      <c r="N1150" s="1621" t="e">
        <f>K1150*L1150</f>
        <v>#N/A</v>
      </c>
      <c r="O1150" s="1631"/>
      <c r="P1150" s="1634">
        <f>'Part VIII-Threshold Criteria'!P65</f>
        <v>32271408</v>
      </c>
      <c r="Q1150" s="1634"/>
    </row>
    <row r="1151" spans="1:17" ht="12.75" customHeight="1">
      <c r="C1151" s="533"/>
      <c r="D1151" s="1618" t="s">
        <v>2526</v>
      </c>
      <c r="E1151" s="1407">
        <v>2</v>
      </c>
      <c r="F1151" s="1619">
        <f>'Part VI-Revenues &amp; Expenses'!$L$110</f>
        <v>0</v>
      </c>
      <c r="G1151" s="1620"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220" t="str">
        <f>CONCATENATE("x ", F1151," units = ")</f>
        <v xml:space="preserve">x 0 units = </v>
      </c>
      <c r="I1151" s="1621" t="e">
        <f>F1151*G1151</f>
        <v>#N/A</v>
      </c>
      <c r="J1151" s="533"/>
      <c r="K1151" s="1619">
        <f>'Part VI-Revenues &amp; Expenses'!$L$111</f>
        <v>0</v>
      </c>
      <c r="L1151" s="1620"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220" t="str">
        <f>CONCATENATE("x ", K1151," units = ")</f>
        <v xml:space="preserve">x 0 units = </v>
      </c>
      <c r="N1151" s="1621" t="e">
        <f>K1151*L1151</f>
        <v>#N/A</v>
      </c>
      <c r="P1151" s="1634"/>
      <c r="Q1151" s="1634"/>
    </row>
    <row r="1152" spans="1:17" ht="12.75" customHeight="1">
      <c r="C1152" s="533"/>
      <c r="D1152" s="1618" t="s">
        <v>2527</v>
      </c>
      <c r="E1152" s="1407">
        <v>3</v>
      </c>
      <c r="F1152" s="1619">
        <f>'Part VI-Revenues &amp; Expenses'!$M$110</f>
        <v>0</v>
      </c>
      <c r="G1152" s="1620"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220" t="str">
        <f>CONCATENATE("x ", F1152," units = ")</f>
        <v xml:space="preserve">x 0 units = </v>
      </c>
      <c r="I1152" s="1621" t="e">
        <f>F1152*G1152</f>
        <v>#N/A</v>
      </c>
      <c r="J1152" s="533"/>
      <c r="K1152" s="1619">
        <f>'Part VI-Revenues &amp; Expenses'!$M$111</f>
        <v>0</v>
      </c>
      <c r="L1152" s="1620"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220" t="str">
        <f>CONCATENATE("x ", K1152," units = ")</f>
        <v xml:space="preserve">x 0 units = </v>
      </c>
      <c r="N1152" s="1621" t="e">
        <f>K1152*L1152</f>
        <v>#N/A</v>
      </c>
      <c r="P1152" s="1511" t="s">
        <v>2847</v>
      </c>
      <c r="Q1152" s="1511"/>
    </row>
    <row r="1153" spans="1:17">
      <c r="C1153" s="533"/>
      <c r="D1153" s="1618" t="s">
        <v>2528</v>
      </c>
      <c r="E1153" s="1407">
        <v>4</v>
      </c>
      <c r="F1153" s="1619">
        <f>'Part VI-Revenues &amp; Expenses'!$N$110</f>
        <v>0</v>
      </c>
      <c r="G1153" s="1620"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220" t="str">
        <f>CONCATENATE("x ", F1153," units = ")</f>
        <v xml:space="preserve">x 0 units = </v>
      </c>
      <c r="I1153" s="1621" t="e">
        <f>F1153*G1153</f>
        <v>#N/A</v>
      </c>
      <c r="J1153" s="533"/>
      <c r="K1153" s="1619">
        <f>'Part VI-Revenues &amp; Expenses'!$N$111</f>
        <v>0</v>
      </c>
      <c r="L1153" s="1620"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220" t="str">
        <f>CONCATENATE("x ", K1153," units = ")</f>
        <v xml:space="preserve">x 0 units = </v>
      </c>
      <c r="N1153" s="1621" t="e">
        <f>K1153*L1153</f>
        <v>#N/A</v>
      </c>
      <c r="O1153" s="1631"/>
      <c r="P1153" s="1511"/>
      <c r="Q1153" s="1511"/>
    </row>
    <row r="1154" spans="1:17" ht="13.5">
      <c r="C1154" s="533"/>
      <c r="D1154" s="1623" t="s">
        <v>3557</v>
      </c>
      <c r="F1154" s="1624">
        <f>SUM(F1149:F1153)</f>
        <v>208</v>
      </c>
      <c r="G1154" s="1625"/>
      <c r="H1154" s="1626"/>
      <c r="I1154" s="1627" t="e">
        <f>SUM(I1149:I1153)</f>
        <v>#N/A</v>
      </c>
      <c r="J1154" s="1628"/>
      <c r="K1154" s="1624">
        <f>SUM(K1149:K1153)</f>
        <v>0</v>
      </c>
      <c r="L1154" s="1628"/>
      <c r="M1154" s="1626"/>
      <c r="N1154" s="1627" t="e">
        <f>SUM(N1149:N1153)</f>
        <v>#N/A</v>
      </c>
      <c r="O1154" s="1631"/>
      <c r="P1154" s="1511"/>
      <c r="Q1154" s="1511"/>
    </row>
    <row r="1155" spans="1:17">
      <c r="C1155" s="533"/>
      <c r="D1155" s="533"/>
      <c r="E1155" s="1535"/>
      <c r="F1155" s="533"/>
      <c r="G1155" s="54"/>
      <c r="H1155" s="1635"/>
      <c r="I1155" s="1635"/>
      <c r="J1155" s="1635"/>
      <c r="K1155" s="1635"/>
      <c r="L1155" s="1635"/>
      <c r="M1155" s="1635"/>
      <c r="N1155" s="1408"/>
      <c r="O1155" s="1631"/>
      <c r="P1155" s="1511"/>
      <c r="Q1155" s="1511"/>
    </row>
    <row r="1156" spans="1:17" ht="13.5">
      <c r="A1156" s="199" t="s">
        <v>3558</v>
      </c>
      <c r="B1156" s="533"/>
      <c r="C1156" s="533"/>
      <c r="D1156" s="533"/>
      <c r="E1156" s="109"/>
      <c r="F1156" s="1636">
        <f>F1133+F1140+F1147+F1154</f>
        <v>208</v>
      </c>
      <c r="G1156" s="370"/>
      <c r="H1156" s="821"/>
      <c r="I1156" s="1636" t="e">
        <f>I1133+I1140+I1147+I1154</f>
        <v>#N/A</v>
      </c>
      <c r="J1156" s="821"/>
      <c r="K1156" s="1636">
        <f>K1133+K1140+K1147+K1154</f>
        <v>0</v>
      </c>
      <c r="L1156" s="821"/>
      <c r="M1156" s="821"/>
      <c r="N1156" s="1636" t="e">
        <f>N1133+N1140+N1147+N1154</f>
        <v>#N/A</v>
      </c>
      <c r="O1156" s="1631"/>
      <c r="P1156" s="1511"/>
      <c r="Q1156" s="1511"/>
    </row>
    <row r="1157" spans="1:17">
      <c r="B1157" s="101" t="s">
        <v>1936</v>
      </c>
      <c r="D1157" s="101"/>
      <c r="E1157" s="101"/>
      <c r="F1157" s="101"/>
      <c r="G1157" s="101"/>
      <c r="H1157" s="1220"/>
      <c r="I1157" s="1407"/>
      <c r="J1157" s="1407"/>
      <c r="K1157" s="147" t="s">
        <v>1937</v>
      </c>
      <c r="L1157" s="1219"/>
      <c r="M1157" s="1219"/>
      <c r="N1157" s="1219"/>
      <c r="O1157" s="1219"/>
      <c r="P1157" s="1219"/>
      <c r="Q1157" s="1219"/>
    </row>
    <row r="1158" spans="1:17" ht="78.75">
      <c r="A1158" s="1221" t="str">
        <f>'Part VIII-Threshold Criteria'!A73</f>
        <v>The total development costs are below the Maximum Project Cost Limit.</v>
      </c>
      <c r="B1158" s="1221"/>
      <c r="C1158" s="1221"/>
      <c r="D1158" s="1221"/>
      <c r="E1158" s="1221"/>
      <c r="F1158" s="1221"/>
      <c r="G1158" s="1221"/>
      <c r="H1158" s="1221"/>
      <c r="I1158" s="1221"/>
      <c r="J1158" s="1221"/>
      <c r="K1158" s="1221">
        <f>'Part VIII-Threshold Criteria'!K73</f>
        <v>0</v>
      </c>
      <c r="L1158" s="1221"/>
      <c r="M1158" s="1221"/>
      <c r="N1158" s="1221"/>
      <c r="O1158" s="1221"/>
      <c r="P1158" s="1221"/>
      <c r="Q1158" s="1221"/>
    </row>
    <row r="1159" spans="1:17">
      <c r="B1159" s="1407"/>
      <c r="C1159" s="1400"/>
      <c r="D1159" s="1400"/>
      <c r="E1159" s="1400"/>
      <c r="F1159" s="1400"/>
      <c r="G1159" s="1400"/>
      <c r="H1159" s="1400"/>
      <c r="I1159" s="1400"/>
      <c r="J1159" s="1400"/>
      <c r="K1159" s="1400"/>
      <c r="L1159" s="1400"/>
      <c r="M1159" s="1400"/>
      <c r="N1159" s="1400"/>
      <c r="O1159" s="1400"/>
      <c r="P1159" s="1400"/>
      <c r="Q1159" s="1219"/>
    </row>
    <row r="1160" spans="1:17">
      <c r="A1160" s="2">
        <v>3</v>
      </c>
      <c r="B1160" s="10" t="s">
        <v>1234</v>
      </c>
      <c r="C1160" s="10"/>
      <c r="D1160" s="10"/>
      <c r="E1160" s="1400"/>
      <c r="F1160" s="1400"/>
      <c r="G1160" s="150" t="s">
        <v>101</v>
      </c>
      <c r="H1160" s="1400"/>
      <c r="J1160" s="234" t="str">
        <f>'Part I-Project Information'!$H$67</f>
        <v>Elderly</v>
      </c>
      <c r="K1160" s="234"/>
      <c r="L1160" s="234"/>
      <c r="O1160" s="142" t="s">
        <v>1938</v>
      </c>
      <c r="P1160" s="1159">
        <f>'Part VIII-Threshold Criteria'!P75</f>
        <v>0</v>
      </c>
      <c r="Q1160" s="1159"/>
    </row>
    <row r="1161" spans="1:17">
      <c r="B1161" s="101" t="s">
        <v>1936</v>
      </c>
      <c r="D1161" s="101"/>
      <c r="E1161" s="101"/>
      <c r="F1161" s="101"/>
      <c r="G1161" s="101"/>
      <c r="H1161" s="1220"/>
      <c r="I1161" s="1407"/>
      <c r="J1161" s="1407"/>
      <c r="K1161" s="147" t="s">
        <v>1937</v>
      </c>
      <c r="L1161" s="1219"/>
      <c r="M1161" s="1219"/>
      <c r="N1161" s="1219"/>
      <c r="O1161" s="1219"/>
      <c r="P1161" s="1219"/>
      <c r="Q1161" s="1219"/>
    </row>
    <row r="1162" spans="1:17" ht="56.25">
      <c r="A1162" s="1221" t="str">
        <f>'Part VIII-Threshold Criteria'!A77</f>
        <v>The project will house residents 62 years and older.</v>
      </c>
      <c r="B1162" s="1221"/>
      <c r="C1162" s="1221"/>
      <c r="D1162" s="1221"/>
      <c r="E1162" s="1221"/>
      <c r="F1162" s="1221"/>
      <c r="G1162" s="1221"/>
      <c r="H1162" s="1221"/>
      <c r="I1162" s="1221"/>
      <c r="J1162" s="1221"/>
      <c r="K1162" s="1221">
        <f>'Part VIII-Threshold Criteria'!K77</f>
        <v>0</v>
      </c>
      <c r="L1162" s="1221"/>
      <c r="M1162" s="1221"/>
      <c r="N1162" s="1221"/>
      <c r="O1162" s="1221"/>
      <c r="P1162" s="1221"/>
      <c r="Q1162" s="1221"/>
    </row>
    <row r="1163" spans="1:17">
      <c r="A1163" s="1219"/>
      <c r="B1163" s="1407"/>
      <c r="C1163" s="1400"/>
      <c r="D1163" s="1400"/>
      <c r="E1163" s="1400"/>
      <c r="F1163" s="1400"/>
      <c r="G1163" s="1400"/>
      <c r="H1163" s="1400"/>
      <c r="I1163" s="1400"/>
      <c r="J1163" s="1400"/>
      <c r="K1163" s="1400"/>
      <c r="L1163" s="1400"/>
      <c r="M1163" s="1400"/>
      <c r="N1163" s="1400"/>
      <c r="O1163" s="1400"/>
      <c r="P1163" s="1400"/>
      <c r="Q1163" s="1219"/>
    </row>
    <row r="1164" spans="1:17">
      <c r="A1164" s="2">
        <v>4</v>
      </c>
      <c r="B1164" s="2" t="s">
        <v>2745</v>
      </c>
      <c r="C1164" s="199"/>
      <c r="D1164" s="1400"/>
      <c r="E1164" s="1400"/>
      <c r="F1164" s="1400"/>
      <c r="G1164" s="1400"/>
      <c r="H1164" s="1400"/>
      <c r="I1164" s="1400"/>
      <c r="J1164" s="1400"/>
      <c r="K1164" s="1400"/>
      <c r="L1164" s="1400"/>
      <c r="M1164" s="1400"/>
      <c r="O1164" s="142" t="s">
        <v>1938</v>
      </c>
      <c r="P1164" s="1159">
        <f>'Part VIII-Threshold Criteria'!P79</f>
        <v>0</v>
      </c>
      <c r="Q1164" s="1159"/>
    </row>
    <row r="1166" spans="1:17">
      <c r="B1166" s="1637" t="s">
        <v>2058</v>
      </c>
      <c r="C1166" s="150" t="s">
        <v>4153</v>
      </c>
      <c r="D1166" s="150"/>
      <c r="E1166" s="150"/>
      <c r="F1166" s="150"/>
      <c r="G1166" s="150"/>
      <c r="H1166" s="150"/>
      <c r="I1166" s="150"/>
      <c r="J1166" s="1638" t="s">
        <v>4154</v>
      </c>
      <c r="K1166" s="150"/>
      <c r="L1166" s="150"/>
      <c r="M1166" s="150"/>
      <c r="O1166" s="1221"/>
      <c r="P1166" s="1218" t="str">
        <f>'Part VIII-Threshold Criteria'!P81</f>
        <v>Agree</v>
      </c>
    </row>
    <row r="1167" spans="1:17">
      <c r="B1167" s="199" t="s">
        <v>2061</v>
      </c>
      <c r="C1167" s="1220" t="s">
        <v>3887</v>
      </c>
      <c r="D1167" s="1220"/>
      <c r="E1167" s="1220"/>
      <c r="F1167" s="1220"/>
      <c r="G1167" s="1220"/>
      <c r="H1167" s="1220"/>
      <c r="I1167" s="1220"/>
      <c r="J1167" s="1220"/>
      <c r="K1167" s="1220"/>
      <c r="L1167" s="1220"/>
      <c r="M1167" s="1220"/>
      <c r="O1167" s="1220"/>
      <c r="P1167" s="1220"/>
      <c r="Q1167" s="1220"/>
    </row>
    <row r="1168" spans="1:17" ht="123.75">
      <c r="A1168" s="781"/>
      <c r="B1168" s="69" t="s">
        <v>1803</v>
      </c>
      <c r="C1168" s="1220" t="s">
        <v>3755</v>
      </c>
      <c r="E1168" s="1403"/>
      <c r="F1168" s="1403"/>
      <c r="G1168" s="1403"/>
      <c r="H1168" s="533"/>
      <c r="I1168" s="54" t="s">
        <v>2810</v>
      </c>
      <c r="J1168" s="1179" t="str">
        <f>'Part VIII-Threshold Criteria'!J83</f>
        <v>Game night, holiday events, cultural/histrocial attraction field trips, resident appreciation events</v>
      </c>
      <c r="K1168" s="1179"/>
      <c r="L1168" s="1179"/>
      <c r="M1168" s="1179"/>
      <c r="N1168" s="1179"/>
      <c r="O1168" s="1179"/>
      <c r="P1168" s="1179"/>
      <c r="Q1168" s="1179"/>
    </row>
    <row r="1169" spans="1:17">
      <c r="A1169" s="781"/>
      <c r="B1169" s="69" t="s">
        <v>1804</v>
      </c>
      <c r="C1169" s="1220" t="s">
        <v>3885</v>
      </c>
      <c r="E1169" s="1403"/>
      <c r="F1169" s="1403"/>
      <c r="G1169" s="1403"/>
      <c r="H1169" s="533"/>
      <c r="I1169" s="54" t="s">
        <v>2810</v>
      </c>
      <c r="J1169" s="1179">
        <f>'Part VIII-Threshold Criteria'!J84</f>
        <v>0</v>
      </c>
      <c r="K1169" s="1179"/>
      <c r="L1169" s="1179"/>
      <c r="M1169" s="1179"/>
      <c r="N1169" s="1179"/>
      <c r="O1169" s="1179"/>
      <c r="P1169" s="1179"/>
      <c r="Q1169" s="1179"/>
    </row>
    <row r="1170" spans="1:17" ht="112.5">
      <c r="A1170" s="781"/>
      <c r="B1170" s="69" t="s">
        <v>1805</v>
      </c>
      <c r="C1170" s="1220" t="s">
        <v>3886</v>
      </c>
      <c r="E1170" s="1403"/>
      <c r="F1170" s="1403"/>
      <c r="G1170" s="1403"/>
      <c r="H1170" s="533"/>
      <c r="I1170" s="54" t="s">
        <v>2810</v>
      </c>
      <c r="J1170" s="1179" t="str">
        <f>'Part VIII-Threshold Criteria'!J85</f>
        <v>Healthy eating/nutrition classes, creative arts classes, health screenings</v>
      </c>
      <c r="K1170" s="1179"/>
      <c r="L1170" s="1179"/>
      <c r="M1170" s="1179"/>
      <c r="N1170" s="1179"/>
      <c r="O1170" s="1179"/>
      <c r="P1170" s="1179"/>
      <c r="Q1170" s="1179"/>
    </row>
    <row r="1171" spans="1:17">
      <c r="A1171" s="781"/>
      <c r="B1171" s="69" t="s">
        <v>2448</v>
      </c>
      <c r="C1171" s="1220" t="s">
        <v>3559</v>
      </c>
      <c r="E1171" s="1403"/>
      <c r="I1171" s="54" t="s">
        <v>2810</v>
      </c>
      <c r="J1171" s="1179">
        <f>'Part VIII-Threshold Criteria'!J86</f>
        <v>0</v>
      </c>
      <c r="K1171" s="1179"/>
      <c r="L1171" s="1179"/>
      <c r="M1171" s="1179"/>
      <c r="N1171" s="1179"/>
      <c r="O1171" s="1179"/>
      <c r="P1171" s="1179"/>
      <c r="Q1171" s="1179"/>
    </row>
    <row r="1172" spans="1:17">
      <c r="A1172" s="781"/>
      <c r="B1172" s="199" t="s">
        <v>779</v>
      </c>
      <c r="C1172" s="1220" t="s">
        <v>3854</v>
      </c>
      <c r="D1172" s="1220"/>
      <c r="E1172" s="1403"/>
      <c r="J1172" s="54"/>
      <c r="K1172" s="54"/>
      <c r="L1172" s="54"/>
      <c r="M1172" s="54"/>
      <c r="N1172" s="54"/>
      <c r="O1172" s="54"/>
      <c r="P1172" s="54"/>
      <c r="Q1172" s="54"/>
    </row>
    <row r="1173" spans="1:17">
      <c r="A1173" s="781"/>
      <c r="B1173" s="67"/>
      <c r="C1173" s="467" t="s">
        <v>3888</v>
      </c>
      <c r="D1173" s="144"/>
      <c r="E1173" s="144"/>
      <c r="F1173" s="144"/>
      <c r="G1173" s="144"/>
      <c r="H1173" s="144"/>
      <c r="I1173" s="533"/>
      <c r="J1173" s="533"/>
      <c r="K1173" s="69" t="s">
        <v>779</v>
      </c>
      <c r="L1173" s="234">
        <f>'Part VIII-Threshold Criteria'!L88</f>
        <v>0</v>
      </c>
      <c r="M1173" s="234"/>
      <c r="N1173" s="234"/>
      <c r="O1173" s="234"/>
      <c r="P1173" s="234"/>
      <c r="Q1173" s="1218">
        <f>'Part VIII-Threshold Criteria'!Q88</f>
        <v>0</v>
      </c>
    </row>
    <row r="1174" spans="1:17">
      <c r="B1174" s="101" t="s">
        <v>1936</v>
      </c>
      <c r="D1174" s="101"/>
      <c r="E1174" s="101"/>
      <c r="F1174" s="101"/>
      <c r="G1174" s="101"/>
      <c r="H1174" s="1220"/>
      <c r="I1174" s="1407"/>
      <c r="J1174" s="1407"/>
      <c r="K1174" s="147" t="s">
        <v>1937</v>
      </c>
      <c r="L1174" s="1219"/>
      <c r="M1174" s="1219"/>
      <c r="N1174" s="1219"/>
      <c r="O1174" s="1219"/>
      <c r="P1174" s="1219"/>
      <c r="Q1174" s="1219"/>
    </row>
    <row r="1175" spans="1:17" ht="213.75">
      <c r="A1175" s="1221" t="str">
        <f>'Part VIII-Threshold Criteria'!A90</f>
        <v>The applicant has a variety of relationships with supportive service providers and the property management team will provide monthly social and recreational programs on site.</v>
      </c>
      <c r="B1175" s="1221"/>
      <c r="C1175" s="1221"/>
      <c r="D1175" s="1221"/>
      <c r="E1175" s="1221"/>
      <c r="F1175" s="1221"/>
      <c r="G1175" s="1221"/>
      <c r="H1175" s="1221"/>
      <c r="I1175" s="1221"/>
      <c r="J1175" s="1221"/>
      <c r="K1175" s="1221">
        <f>'Part VIII-Threshold Criteria'!K90</f>
        <v>0</v>
      </c>
      <c r="L1175" s="1221"/>
      <c r="M1175" s="1221"/>
      <c r="N1175" s="1221"/>
      <c r="O1175" s="1221"/>
      <c r="P1175" s="1221"/>
      <c r="Q1175" s="1221"/>
    </row>
    <row r="1176" spans="1:17">
      <c r="A1176" s="1219"/>
      <c r="B1176" s="1407"/>
      <c r="C1176" s="1400"/>
      <c r="D1176" s="1400"/>
      <c r="E1176" s="1400"/>
      <c r="F1176" s="1400"/>
      <c r="G1176" s="1400"/>
      <c r="H1176" s="1400"/>
      <c r="I1176" s="1400"/>
      <c r="J1176" s="1400"/>
      <c r="K1176" s="1400"/>
      <c r="L1176" s="1400"/>
      <c r="M1176" s="1400"/>
      <c r="N1176" s="1400"/>
      <c r="O1176" s="1400"/>
      <c r="P1176" s="1400"/>
      <c r="Q1176" s="1219"/>
    </row>
    <row r="1177" spans="1:17">
      <c r="A1177" s="2">
        <v>5</v>
      </c>
      <c r="B1177" s="2" t="s">
        <v>2746</v>
      </c>
      <c r="C1177" s="2"/>
      <c r="D1177" s="1400"/>
      <c r="E1177" s="1400"/>
      <c r="F1177" s="1400"/>
      <c r="G1177" s="1400"/>
      <c r="H1177" s="1400"/>
      <c r="I1177" s="1400"/>
      <c r="J1177" s="1400"/>
      <c r="K1177" s="1400"/>
      <c r="O1177" s="142" t="s">
        <v>1938</v>
      </c>
      <c r="P1177" s="1159">
        <f>'Part VIII-Threshold Criteria'!P92</f>
        <v>0</v>
      </c>
      <c r="Q1177" s="1159"/>
    </row>
    <row r="1179" spans="1:17">
      <c r="B1179" s="67" t="s">
        <v>2058</v>
      </c>
      <c r="C1179" s="467" t="s">
        <v>2545</v>
      </c>
      <c r="D1179" s="144"/>
      <c r="E1179" s="144"/>
      <c r="F1179" s="144"/>
      <c r="G1179" s="144"/>
      <c r="H1179" s="144"/>
      <c r="I1179" s="533"/>
      <c r="J1179" s="533"/>
      <c r="K1179" s="533"/>
      <c r="L1179" s="69" t="s">
        <v>2058</v>
      </c>
      <c r="M1179" s="234" t="str">
        <f>'Part VIII-Threshold Criteria'!M94</f>
        <v>Real Property Research Group</v>
      </c>
      <c r="N1179" s="234"/>
      <c r="O1179" s="234"/>
      <c r="P1179" s="533"/>
      <c r="Q1179" s="1218">
        <f>'Part VIII-Threshold Criteria'!Q94</f>
        <v>0</v>
      </c>
    </row>
    <row r="1180" spans="1:17">
      <c r="B1180" s="67" t="s">
        <v>2061</v>
      </c>
      <c r="C1180" s="54" t="s">
        <v>2113</v>
      </c>
      <c r="D1180" s="144"/>
      <c r="E1180" s="144"/>
      <c r="F1180" s="144"/>
      <c r="L1180" s="69" t="s">
        <v>2061</v>
      </c>
      <c r="M1180" s="234" t="str">
        <f>'Part VIII-Threshold Criteria'!M95</f>
        <v>4 months</v>
      </c>
      <c r="N1180" s="234"/>
      <c r="O1180" s="234"/>
      <c r="P1180" s="533"/>
      <c r="Q1180" s="1218">
        <f>'Part VIII-Threshold Criteria'!Q95</f>
        <v>0</v>
      </c>
    </row>
    <row r="1181" spans="1:17">
      <c r="B1181" s="67" t="s">
        <v>779</v>
      </c>
      <c r="C1181" s="54" t="s">
        <v>3019</v>
      </c>
      <c r="D1181" s="144"/>
      <c r="E1181" s="144"/>
      <c r="F1181" s="144"/>
      <c r="L1181" s="69" t="s">
        <v>779</v>
      </c>
      <c r="M1181" s="1639">
        <f>'Part VIII-Threshold Criteria'!M96</f>
        <v>0.97899999999999998</v>
      </c>
      <c r="N1181" s="1639"/>
      <c r="O1181" s="1639"/>
      <c r="P1181" s="1640"/>
      <c r="Q1181" s="1218">
        <f>'Part VIII-Threshold Criteria'!Q96</f>
        <v>0</v>
      </c>
    </row>
    <row r="1182" spans="1:17">
      <c r="B1182" s="67" t="s">
        <v>2193</v>
      </c>
      <c r="C1182" s="54" t="s">
        <v>4053</v>
      </c>
      <c r="D1182" s="144"/>
      <c r="E1182" s="144"/>
      <c r="F1182" s="144"/>
      <c r="L1182" s="69" t="s">
        <v>2193</v>
      </c>
      <c r="M1182" s="1639">
        <f>'Part VIII-Threshold Criteria'!M97</f>
        <v>0.16200000000000001</v>
      </c>
      <c r="N1182" s="1639"/>
      <c r="O1182" s="1639"/>
      <c r="P1182" s="1640"/>
      <c r="Q1182" s="1218">
        <f>'Part VIII-Threshold Criteria'!Q97</f>
        <v>0</v>
      </c>
    </row>
    <row r="1183" spans="1:17" ht="12.75" customHeight="1">
      <c r="B1183" s="1611" t="s">
        <v>1801</v>
      </c>
      <c r="C1183" s="1221" t="s">
        <v>3718</v>
      </c>
      <c r="D1183" s="1221"/>
      <c r="E1183" s="1221"/>
      <c r="F1183" s="1221"/>
      <c r="G1183" s="1221"/>
      <c r="H1183" s="1221"/>
      <c r="I1183" s="1221"/>
      <c r="J1183" s="1221"/>
      <c r="K1183" s="1221"/>
      <c r="L1183" s="1221"/>
      <c r="M1183" s="1221"/>
      <c r="N1183" s="1221"/>
      <c r="O1183" s="1221"/>
      <c r="P1183" s="1221"/>
      <c r="Q1183" s="1221"/>
    </row>
    <row r="1184" spans="1:17">
      <c r="B1184" s="67"/>
      <c r="C1184" s="54"/>
      <c r="D1184" s="1407" t="s">
        <v>2463</v>
      </c>
      <c r="E1184" s="1220" t="s">
        <v>641</v>
      </c>
      <c r="F1184" s="1220"/>
      <c r="H1184" s="54"/>
      <c r="I1184" s="1407" t="s">
        <v>2463</v>
      </c>
      <c r="J1184" s="1220" t="s">
        <v>641</v>
      </c>
      <c r="K1184" s="1220"/>
      <c r="M1184" s="54"/>
      <c r="N1184" s="1407" t="s">
        <v>2463</v>
      </c>
      <c r="O1184" s="1220" t="s">
        <v>641</v>
      </c>
      <c r="P1184" s="1220"/>
      <c r="Q1184" s="69"/>
    </row>
    <row r="1185" spans="1:17">
      <c r="B1185" s="67"/>
      <c r="C1185" s="54">
        <v>1</v>
      </c>
      <c r="D1185" s="1218">
        <f>'Part VIII-Threshold Criteria'!D100</f>
        <v>0</v>
      </c>
      <c r="E1185" s="234">
        <f>'Part VIII-Threshold Criteria'!E100</f>
        <v>0</v>
      </c>
      <c r="F1185" s="234"/>
      <c r="G1185" s="234"/>
      <c r="H1185" s="54">
        <v>3</v>
      </c>
      <c r="I1185" s="1218">
        <f>'Part VIII-Threshold Criteria'!I100</f>
        <v>0</v>
      </c>
      <c r="J1185" s="234">
        <f>'Part VIII-Threshold Criteria'!J100</f>
        <v>0</v>
      </c>
      <c r="K1185" s="234"/>
      <c r="L1185" s="234"/>
      <c r="M1185" s="54">
        <v>5</v>
      </c>
      <c r="N1185" s="1218">
        <f>'Part VIII-Threshold Criteria'!N100</f>
        <v>0</v>
      </c>
      <c r="O1185" s="234">
        <f>'Part VIII-Threshold Criteria'!O100</f>
        <v>0</v>
      </c>
      <c r="P1185" s="234"/>
      <c r="Q1185" s="234"/>
    </row>
    <row r="1186" spans="1:17">
      <c r="B1186" s="67"/>
      <c r="C1186" s="54">
        <v>2</v>
      </c>
      <c r="D1186" s="1218">
        <f>'Part VIII-Threshold Criteria'!D101</f>
        <v>0</v>
      </c>
      <c r="E1186" s="234">
        <f>'Part VIII-Threshold Criteria'!E101</f>
        <v>0</v>
      </c>
      <c r="F1186" s="234"/>
      <c r="G1186" s="234"/>
      <c r="H1186" s="54">
        <v>4</v>
      </c>
      <c r="I1186" s="1218">
        <f>'Part VIII-Threshold Criteria'!I101</f>
        <v>0</v>
      </c>
      <c r="J1186" s="234">
        <f>'Part VIII-Threshold Criteria'!J101</f>
        <v>0</v>
      </c>
      <c r="K1186" s="234"/>
      <c r="L1186" s="234"/>
      <c r="M1186" s="54">
        <v>6</v>
      </c>
      <c r="N1186" s="1218">
        <f>'Part VIII-Threshold Criteria'!N101</f>
        <v>0</v>
      </c>
      <c r="O1186" s="234">
        <f>'Part VIII-Threshold Criteria'!O101</f>
        <v>0</v>
      </c>
      <c r="P1186" s="234"/>
      <c r="Q1186" s="234"/>
    </row>
    <row r="1187" spans="1:17">
      <c r="B1187" s="67" t="s">
        <v>1802</v>
      </c>
      <c r="C1187" s="54" t="s">
        <v>0</v>
      </c>
      <c r="D1187" s="144"/>
      <c r="E1187" s="144"/>
      <c r="F1187" s="144"/>
      <c r="G1187" s="144"/>
      <c r="H1187" s="144"/>
      <c r="I1187" s="533"/>
      <c r="J1187" s="533"/>
      <c r="K1187" s="144"/>
      <c r="L1187" s="1403"/>
      <c r="M1187" s="1403"/>
      <c r="O1187" s="69" t="s">
        <v>1802</v>
      </c>
      <c r="P1187" s="1218" t="str">
        <f>'Part VIII-Threshold Criteria'!P102</f>
        <v>Yes</v>
      </c>
      <c r="Q1187" s="1218">
        <f>'Part VIII-Threshold Criteria'!Q102</f>
        <v>0</v>
      </c>
    </row>
    <row r="1188" spans="1:17">
      <c r="B1188" s="101" t="s">
        <v>1936</v>
      </c>
      <c r="D1188" s="101"/>
      <c r="E1188" s="101"/>
      <c r="F1188" s="101"/>
      <c r="G1188" s="101"/>
      <c r="H1188" s="1220"/>
      <c r="I1188" s="1407"/>
      <c r="J1188" s="1407"/>
      <c r="K1188" s="1407"/>
      <c r="L1188" s="1219"/>
      <c r="M1188" s="1219"/>
      <c r="N1188" s="1219"/>
      <c r="O1188" s="1219"/>
      <c r="P1188" s="1219"/>
      <c r="Q1188" s="1219"/>
    </row>
    <row r="1189" spans="1:17" ht="168.75">
      <c r="A1189" s="1221" t="str">
        <f>'Part VIII-Threshold Criteria'!A104</f>
        <v>There have not been any DCA tax credit projects in close proximity funded in 2013 or 2014. The Market Study has been included in Tab 5.</v>
      </c>
      <c r="B1189" s="1221"/>
      <c r="C1189" s="1221"/>
      <c r="D1189" s="1221"/>
      <c r="E1189" s="1221"/>
      <c r="F1189" s="1221"/>
      <c r="G1189" s="1221"/>
      <c r="H1189" s="1221"/>
      <c r="I1189" s="1221"/>
      <c r="J1189" s="1221"/>
      <c r="K1189" s="1221"/>
      <c r="L1189" s="1221"/>
      <c r="M1189" s="1221"/>
      <c r="N1189" s="1221"/>
      <c r="O1189" s="1221"/>
      <c r="P1189" s="1221"/>
      <c r="Q1189" s="1221"/>
    </row>
    <row r="1190" spans="1:17">
      <c r="B1190" s="147" t="s">
        <v>1937</v>
      </c>
      <c r="C1190" s="148"/>
      <c r="D1190" s="1400"/>
      <c r="E1190" s="1400"/>
      <c r="F1190" s="1400"/>
      <c r="G1190" s="1400"/>
      <c r="H1190" s="1400"/>
      <c r="I1190" s="1400"/>
      <c r="J1190" s="1400"/>
      <c r="K1190" s="1400"/>
      <c r="L1190" s="1400"/>
      <c r="M1190" s="1400"/>
      <c r="N1190" s="1400"/>
      <c r="O1190" s="1400"/>
      <c r="P1190" s="1400"/>
    </row>
    <row r="1191" spans="1:17">
      <c r="A1191" s="1221">
        <f>'Part VIII-Threshold Criteria'!A106</f>
        <v>0</v>
      </c>
      <c r="B1191" s="1221"/>
      <c r="C1191" s="1221"/>
      <c r="D1191" s="1221"/>
      <c r="E1191" s="1221"/>
      <c r="F1191" s="1221"/>
      <c r="G1191" s="1221"/>
      <c r="H1191" s="1221"/>
      <c r="I1191" s="1221"/>
      <c r="J1191" s="1221"/>
      <c r="K1191" s="1221"/>
      <c r="L1191" s="1221"/>
      <c r="M1191" s="1221"/>
      <c r="N1191" s="1221"/>
      <c r="O1191" s="1221"/>
      <c r="P1191" s="1221"/>
      <c r="Q1191" s="1221"/>
    </row>
    <row r="1192" spans="1:17">
      <c r="A1192" s="2">
        <v>6</v>
      </c>
      <c r="B1192" s="2" t="s">
        <v>2747</v>
      </c>
      <c r="C1192" s="2"/>
      <c r="D1192" s="1400"/>
      <c r="E1192" s="1400"/>
      <c r="F1192" s="1400"/>
      <c r="G1192" s="1400"/>
      <c r="H1192" s="1400"/>
      <c r="I1192" s="1400"/>
      <c r="J1192" s="1400"/>
      <c r="K1192" s="1400"/>
      <c r="L1192" s="1400"/>
      <c r="M1192" s="1400"/>
      <c r="O1192" s="142" t="s">
        <v>1938</v>
      </c>
      <c r="P1192" s="1159">
        <f>'Part VIII-Threshold Criteria'!P107</f>
        <v>0</v>
      </c>
      <c r="Q1192" s="1159"/>
    </row>
    <row r="1194" spans="1:17">
      <c r="B1194" s="67" t="s">
        <v>2058</v>
      </c>
      <c r="C1194" s="54" t="s">
        <v>511</v>
      </c>
      <c r="D1194" s="54"/>
      <c r="E1194" s="54"/>
      <c r="F1194" s="54"/>
      <c r="G1194" s="54"/>
      <c r="H1194" s="54"/>
      <c r="I1194" s="54"/>
      <c r="J1194" s="54"/>
      <c r="K1194" s="54"/>
      <c r="L1194" s="54"/>
      <c r="M1194" s="54"/>
      <c r="O1194" s="69" t="s">
        <v>2058</v>
      </c>
      <c r="P1194" s="1218" t="str">
        <f>'Part VIII-Threshold Criteria'!P109</f>
        <v>Yes</v>
      </c>
      <c r="Q1194" s="1218">
        <f>'Part VIII-Threshold Criteria'!Q109</f>
        <v>0</v>
      </c>
    </row>
    <row r="1195" spans="1:17">
      <c r="B1195" s="67" t="s">
        <v>2061</v>
      </c>
      <c r="C1195" s="54" t="s">
        <v>1353</v>
      </c>
      <c r="D1195" s="54"/>
      <c r="E1195" s="54"/>
      <c r="F1195" s="54"/>
      <c r="G1195" s="54"/>
      <c r="H1195" s="54"/>
      <c r="I1195" s="54"/>
      <c r="J1195" s="54"/>
      <c r="K1195" s="54"/>
      <c r="L1195" s="1220"/>
      <c r="M1195" s="1220"/>
      <c r="O1195" s="69" t="s">
        <v>2061</v>
      </c>
      <c r="P1195" s="1218" t="str">
        <f>'Part VIII-Threshold Criteria'!P110</f>
        <v>Yes</v>
      </c>
      <c r="Q1195" s="1218">
        <f>'Part VIII-Threshold Criteria'!Q110</f>
        <v>0</v>
      </c>
    </row>
    <row r="1196" spans="1:17">
      <c r="A1196" s="532"/>
      <c r="B1196" s="54"/>
      <c r="D1196" s="54" t="s">
        <v>573</v>
      </c>
      <c r="E1196" s="533"/>
      <c r="F1196" s="533"/>
      <c r="G1196" s="533"/>
      <c r="H1196" s="533"/>
      <c r="I1196" s="533"/>
      <c r="L1196" s="69" t="s">
        <v>574</v>
      </c>
      <c r="M1196" s="234" t="str">
        <f>'Part VIII-Threshold Criteria'!M111</f>
        <v>Everson, Huber, and Associates</v>
      </c>
      <c r="N1196" s="234"/>
      <c r="O1196" s="234"/>
      <c r="P1196" s="533"/>
      <c r="Q1196" s="1218">
        <f>'Part VIII-Threshold Criteria'!Q111</f>
        <v>0</v>
      </c>
    </row>
    <row r="1197" spans="1:17" ht="12.75" customHeight="1">
      <c r="A1197" s="781"/>
      <c r="B1197" s="1407"/>
      <c r="C1197" s="236" t="s">
        <v>1803</v>
      </c>
      <c r="D1197" s="144" t="s">
        <v>3731</v>
      </c>
      <c r="E1197" s="1157"/>
      <c r="F1197" s="1157"/>
      <c r="G1197" s="1157"/>
      <c r="H1197" s="1157"/>
      <c r="I1197" s="1157"/>
      <c r="J1197" s="1157"/>
      <c r="K1197" s="1157"/>
      <c r="L1197" s="1157"/>
      <c r="M1197" s="1157"/>
      <c r="N1197" s="1157"/>
      <c r="O1197" s="236" t="s">
        <v>1803</v>
      </c>
      <c r="P1197" s="1218" t="str">
        <f>'Part VIII-Threshold Criteria'!P112</f>
        <v>Yes</v>
      </c>
      <c r="Q1197" s="1218">
        <f>'Part VIII-Threshold Criteria'!Q112</f>
        <v>0</v>
      </c>
    </row>
    <row r="1198" spans="1:17" ht="12.75" customHeight="1">
      <c r="A1198" s="781"/>
      <c r="B1198" s="1407"/>
      <c r="C1198" s="69" t="s">
        <v>1804</v>
      </c>
      <c r="D1198" s="144" t="s">
        <v>3732</v>
      </c>
      <c r="E1198" s="1157"/>
      <c r="F1198" s="1157"/>
      <c r="G1198" s="1157"/>
      <c r="H1198" s="1157"/>
      <c r="I1198" s="1157"/>
      <c r="J1198" s="1157"/>
      <c r="K1198" s="1157"/>
      <c r="L1198" s="1157"/>
      <c r="M1198" s="1157"/>
      <c r="N1198" s="1157"/>
      <c r="O1198" s="69" t="s">
        <v>1804</v>
      </c>
      <c r="P1198" s="1218" t="str">
        <f>'Part VIII-Threshold Criteria'!P113</f>
        <v>Yes</v>
      </c>
      <c r="Q1198" s="1218">
        <f>'Part VIII-Threshold Criteria'!Q113</f>
        <v>0</v>
      </c>
    </row>
    <row r="1199" spans="1:17">
      <c r="A1199" s="781"/>
      <c r="B1199" s="1407"/>
      <c r="C1199" s="236" t="s">
        <v>1805</v>
      </c>
      <c r="D1199" s="54" t="s">
        <v>3020</v>
      </c>
      <c r="E1199" s="54"/>
      <c r="F1199" s="54"/>
      <c r="G1199" s="54"/>
      <c r="H1199" s="54"/>
      <c r="I1199" s="54"/>
      <c r="J1199" s="54"/>
      <c r="K1199" s="54"/>
      <c r="L1199" s="54"/>
      <c r="M1199" s="54"/>
      <c r="O1199" s="236" t="s">
        <v>1805</v>
      </c>
      <c r="P1199" s="1218" t="str">
        <f>'Part VIII-Threshold Criteria'!P114</f>
        <v>Yes</v>
      </c>
      <c r="Q1199" s="1218">
        <f>'Part VIII-Threshold Criteria'!Q114</f>
        <v>0</v>
      </c>
    </row>
    <row r="1200" spans="1:17" ht="12.75" customHeight="1">
      <c r="A1200" s="781"/>
      <c r="B1200" s="232"/>
      <c r="C1200" s="236" t="s">
        <v>2448</v>
      </c>
      <c r="D1200" s="1221" t="s">
        <v>2789</v>
      </c>
      <c r="E1200" s="1221"/>
      <c r="F1200" s="1221"/>
      <c r="G1200" s="1221"/>
      <c r="H1200" s="1221"/>
      <c r="I1200" s="1221"/>
      <c r="J1200" s="1221"/>
      <c r="K1200" s="1221"/>
      <c r="L1200" s="1221"/>
      <c r="M1200" s="1221"/>
      <c r="N1200" s="1221"/>
      <c r="O1200" s="236" t="s">
        <v>2448</v>
      </c>
      <c r="P1200" s="1218">
        <f>'Part VIII-Threshold Criteria'!P115</f>
        <v>0</v>
      </c>
      <c r="Q1200" s="1218">
        <f>'Part VIII-Threshold Criteria'!Q115</f>
        <v>0</v>
      </c>
    </row>
    <row r="1201" spans="1:17">
      <c r="B1201" s="67" t="s">
        <v>779</v>
      </c>
      <c r="C1201" s="54" t="s">
        <v>148</v>
      </c>
      <c r="D1201" s="54"/>
      <c r="E1201" s="54"/>
      <c r="F1201" s="54"/>
      <c r="G1201" s="54"/>
      <c r="H1201" s="54"/>
      <c r="I1201" s="54"/>
      <c r="J1201" s="54"/>
      <c r="K1201" s="54"/>
      <c r="L1201" s="54"/>
      <c r="M1201" s="54"/>
      <c r="O1201" s="69" t="s">
        <v>779</v>
      </c>
      <c r="P1201" s="1218" t="str">
        <f>'Part VIII-Threshold Criteria'!P116</f>
        <v>No</v>
      </c>
      <c r="Q1201" s="1218">
        <f>'Part VIII-Threshold Criteria'!Q116</f>
        <v>0</v>
      </c>
    </row>
    <row r="1202" spans="1:17">
      <c r="B1202" s="67" t="s">
        <v>2193</v>
      </c>
      <c r="C1202" s="54" t="s">
        <v>1482</v>
      </c>
      <c r="D1202" s="54"/>
      <c r="E1202" s="54"/>
      <c r="G1202" s="54"/>
      <c r="I1202" s="54"/>
      <c r="K1202" s="54"/>
      <c r="L1202" s="1220"/>
      <c r="M1202" s="1220"/>
      <c r="N1202" s="1220"/>
      <c r="O1202" s="1220"/>
      <c r="P1202" s="1220"/>
      <c r="Q1202" s="1220"/>
    </row>
    <row r="1203" spans="1:17">
      <c r="B1203" s="67"/>
      <c r="C1203" s="69" t="s">
        <v>1803</v>
      </c>
      <c r="D1203" s="54" t="s">
        <v>1483</v>
      </c>
      <c r="E1203" s="54"/>
      <c r="F1203" s="54"/>
      <c r="G1203" s="54"/>
      <c r="H1203" s="54"/>
      <c r="I1203" s="54"/>
      <c r="J1203" s="54"/>
      <c r="K1203" s="54"/>
      <c r="L1203" s="1220"/>
      <c r="M1203" s="1220"/>
      <c r="O1203" s="69" t="s">
        <v>1803</v>
      </c>
      <c r="P1203" s="1218" t="str">
        <f>'Part VIII-Threshold Criteria'!P118</f>
        <v>No</v>
      </c>
      <c r="Q1203" s="1218">
        <f>'Part VIII-Threshold Criteria'!Q118</f>
        <v>0</v>
      </c>
    </row>
    <row r="1204" spans="1:17">
      <c r="B1204" s="67"/>
      <c r="C1204" s="69" t="s">
        <v>1804</v>
      </c>
      <c r="D1204" s="54" t="s">
        <v>1484</v>
      </c>
      <c r="E1204" s="54"/>
      <c r="F1204" s="54"/>
      <c r="G1204" s="54"/>
      <c r="H1204" s="54"/>
      <c r="I1204" s="54"/>
      <c r="J1204" s="54"/>
      <c r="K1204" s="54"/>
      <c r="L1204" s="1220"/>
      <c r="M1204" s="1220"/>
      <c r="O1204" s="69" t="s">
        <v>1804</v>
      </c>
      <c r="P1204" s="1218" t="str">
        <f>'Part VIII-Threshold Criteria'!P119</f>
        <v>No</v>
      </c>
      <c r="Q1204" s="1218">
        <f>'Part VIII-Threshold Criteria'!Q119</f>
        <v>0</v>
      </c>
    </row>
    <row r="1205" spans="1:17">
      <c r="B1205" s="67"/>
      <c r="C1205" s="69" t="s">
        <v>1805</v>
      </c>
      <c r="D1205" s="54" t="s">
        <v>1485</v>
      </c>
      <c r="E1205" s="54"/>
      <c r="F1205" s="54"/>
      <c r="G1205" s="54"/>
      <c r="H1205" s="54"/>
      <c r="I1205" s="54"/>
      <c r="J1205" s="54"/>
      <c r="K1205" s="54"/>
      <c r="L1205" s="1220"/>
      <c r="M1205" s="1220"/>
      <c r="O1205" s="69" t="s">
        <v>1805</v>
      </c>
      <c r="P1205" s="1218" t="str">
        <f>'Part VIII-Threshold Criteria'!P120</f>
        <v>No</v>
      </c>
      <c r="Q1205" s="1218">
        <f>'Part VIII-Threshold Criteria'!Q120</f>
        <v>0</v>
      </c>
    </row>
    <row r="1206" spans="1:17">
      <c r="B1206" s="101" t="s">
        <v>1936</v>
      </c>
      <c r="D1206" s="101"/>
      <c r="E1206" s="101"/>
      <c r="F1206" s="101"/>
      <c r="G1206" s="101"/>
      <c r="H1206" s="1220"/>
      <c r="I1206" s="1407"/>
      <c r="J1206" s="1407"/>
      <c r="K1206" s="1407"/>
      <c r="L1206" s="1219"/>
      <c r="M1206" s="1219"/>
      <c r="N1206" s="1219"/>
      <c r="O1206" s="1219"/>
      <c r="P1206" s="1219"/>
      <c r="Q1206" s="1219"/>
    </row>
    <row r="1207" spans="1:17" ht="247.5">
      <c r="A1207" s="1221" t="str">
        <f>'Part VIII-Threshold Criteria'!A122</f>
        <v xml:space="preserve">Wheat Street Charitable Foundation is the land seller and also principal of the other-GP and co-developer; consequently, an appraisal has been included. The appraisal meets DCA's minimum standards. </v>
      </c>
      <c r="B1207" s="1221"/>
      <c r="C1207" s="1221"/>
      <c r="D1207" s="1221"/>
      <c r="E1207" s="1221"/>
      <c r="F1207" s="1221"/>
      <c r="G1207" s="1221"/>
      <c r="H1207" s="1221"/>
      <c r="I1207" s="1221"/>
      <c r="J1207" s="1221"/>
      <c r="K1207" s="1221"/>
      <c r="L1207" s="1221"/>
      <c r="M1207" s="1221"/>
      <c r="N1207" s="1221"/>
      <c r="O1207" s="1221"/>
      <c r="P1207" s="1221"/>
      <c r="Q1207" s="1221"/>
    </row>
    <row r="1208" spans="1:17">
      <c r="B1208" s="147" t="s">
        <v>1937</v>
      </c>
      <c r="C1208" s="148"/>
      <c r="D1208" s="1400"/>
      <c r="E1208" s="1400"/>
      <c r="F1208" s="1400"/>
      <c r="G1208" s="1400"/>
      <c r="H1208" s="1400"/>
      <c r="I1208" s="1400"/>
      <c r="J1208" s="1400"/>
      <c r="K1208" s="1400"/>
      <c r="L1208" s="1400"/>
      <c r="M1208" s="1400"/>
      <c r="N1208" s="1400"/>
      <c r="O1208" s="1400"/>
      <c r="P1208" s="1400"/>
    </row>
    <row r="1209" spans="1:17">
      <c r="A1209" s="1221">
        <f>'Part VIII-Threshold Criteria'!A124</f>
        <v>0</v>
      </c>
      <c r="B1209" s="1221"/>
      <c r="C1209" s="1221"/>
      <c r="D1209" s="1221"/>
      <c r="E1209" s="1221"/>
      <c r="F1209" s="1221"/>
      <c r="G1209" s="1221"/>
      <c r="H1209" s="1221"/>
      <c r="I1209" s="1221"/>
      <c r="J1209" s="1221"/>
      <c r="K1209" s="1221"/>
      <c r="L1209" s="1221"/>
      <c r="M1209" s="1221"/>
      <c r="N1209" s="1221"/>
      <c r="O1209" s="1221"/>
      <c r="P1209" s="1221"/>
      <c r="Q1209" s="1221"/>
    </row>
    <row r="1210" spans="1:17">
      <c r="A1210" s="1219"/>
      <c r="B1210" s="1407"/>
      <c r="C1210" s="1400"/>
      <c r="D1210" s="1400"/>
      <c r="E1210" s="1400"/>
      <c r="F1210" s="1400"/>
      <c r="G1210" s="1400"/>
      <c r="H1210" s="1400"/>
      <c r="I1210" s="1400"/>
      <c r="J1210" s="1400"/>
      <c r="K1210" s="1400"/>
      <c r="L1210" s="1400"/>
      <c r="M1210" s="1400"/>
      <c r="N1210" s="1400"/>
      <c r="O1210" s="1400"/>
      <c r="P1210" s="1400"/>
      <c r="Q1210" s="1219"/>
    </row>
    <row r="1211" spans="1:17">
      <c r="A1211" s="2">
        <v>7</v>
      </c>
      <c r="B1211" s="2" t="s">
        <v>2748</v>
      </c>
      <c r="C1211" s="1220"/>
      <c r="D1211" s="1400"/>
      <c r="E1211" s="1400"/>
      <c r="F1211" s="1400"/>
      <c r="G1211" s="1400"/>
      <c r="H1211" s="1400"/>
      <c r="I1211" s="1400"/>
      <c r="J1211" s="1400"/>
      <c r="K1211" s="1400"/>
      <c r="L1211" s="1400"/>
      <c r="M1211" s="1400"/>
      <c r="O1211" s="142" t="s">
        <v>1938</v>
      </c>
      <c r="P1211" s="1159">
        <f>'Part VIII-Threshold Criteria'!P126</f>
        <v>0</v>
      </c>
      <c r="Q1211" s="1159"/>
    </row>
    <row r="1213" spans="1:17">
      <c r="B1213" s="67" t="s">
        <v>2058</v>
      </c>
      <c r="C1213" s="54" t="s">
        <v>4054</v>
      </c>
      <c r="D1213" s="144"/>
      <c r="E1213" s="144"/>
      <c r="F1213" s="144"/>
      <c r="G1213" s="144"/>
      <c r="H1213" s="144"/>
      <c r="I1213" s="533"/>
      <c r="J1213" s="533"/>
      <c r="K1213" s="533"/>
      <c r="L1213" s="69" t="s">
        <v>2058</v>
      </c>
      <c r="M1213" s="234" t="str">
        <f>'Part VIII-Threshold Criteria'!M128</f>
        <v>Geotechnical &amp; Environmental Consultants, Inc.</v>
      </c>
      <c r="N1213" s="234"/>
      <c r="O1213" s="234"/>
      <c r="P1213" s="234"/>
      <c r="Q1213" s="1218">
        <f>'Part VIII-Threshold Criteria'!Q128</f>
        <v>0</v>
      </c>
    </row>
    <row r="1214" spans="1:17">
      <c r="B1214" s="67" t="s">
        <v>2061</v>
      </c>
      <c r="C1214" s="54" t="s">
        <v>1595</v>
      </c>
      <c r="D1214" s="144"/>
      <c r="E1214" s="144"/>
      <c r="F1214" s="144"/>
      <c r="G1214" s="144"/>
      <c r="H1214" s="144"/>
      <c r="I1214" s="533"/>
      <c r="J1214" s="533"/>
      <c r="K1214" s="144"/>
      <c r="L1214" s="144"/>
      <c r="M1214" s="1403"/>
      <c r="O1214" s="69" t="s">
        <v>2061</v>
      </c>
      <c r="P1214" s="1218" t="str">
        <f>'Part VIII-Threshold Criteria'!P129</f>
        <v>No</v>
      </c>
      <c r="Q1214" s="1218">
        <f>'Part VIII-Threshold Criteria'!Q129</f>
        <v>0</v>
      </c>
    </row>
    <row r="1215" spans="1:17">
      <c r="B1215" s="67" t="s">
        <v>779</v>
      </c>
      <c r="C1215" s="54" t="s">
        <v>156</v>
      </c>
      <c r="D1215" s="144"/>
      <c r="E1215" s="144"/>
      <c r="F1215" s="144"/>
      <c r="G1215" s="144"/>
      <c r="H1215" s="144"/>
      <c r="I1215" s="533"/>
      <c r="J1215" s="533"/>
      <c r="K1215" s="144"/>
      <c r="L1215" s="1403"/>
      <c r="M1215" s="1403"/>
      <c r="O1215" s="69" t="s">
        <v>779</v>
      </c>
      <c r="P1215" s="1218" t="str">
        <f>'Part VIII-Threshold Criteria'!P130</f>
        <v>Yes</v>
      </c>
      <c r="Q1215" s="1218">
        <f>'Part VIII-Threshold Criteria'!Q130</f>
        <v>0</v>
      </c>
    </row>
    <row r="1216" spans="1:17">
      <c r="B1216" s="67"/>
      <c r="C1216" s="69" t="s">
        <v>1803</v>
      </c>
      <c r="D1216" s="54" t="s">
        <v>2788</v>
      </c>
      <c r="E1216" s="144"/>
      <c r="F1216" s="144"/>
      <c r="G1216" s="144"/>
      <c r="H1216" s="144"/>
      <c r="I1216" s="533"/>
      <c r="J1216" s="533"/>
      <c r="K1216" s="144"/>
      <c r="L1216" s="69" t="s">
        <v>1803</v>
      </c>
      <c r="M1216" s="234" t="str">
        <f>'Part VIII-Threshold Criteria'!M131</f>
        <v>Geotechnical &amp; Environmental Consultants, Inc.</v>
      </c>
      <c r="N1216" s="234"/>
      <c r="O1216" s="234"/>
      <c r="P1216" s="234"/>
      <c r="Q1216" s="1218">
        <f>'Part VIII-Threshold Criteria'!Q131</f>
        <v>0</v>
      </c>
    </row>
    <row r="1217" spans="2:17">
      <c r="B1217" s="196"/>
      <c r="C1217" s="69" t="s">
        <v>1804</v>
      </c>
      <c r="D1217" s="54" t="s">
        <v>3733</v>
      </c>
      <c r="E1217" s="533"/>
      <c r="F1217" s="533"/>
      <c r="G1217" s="533"/>
      <c r="H1217" s="54"/>
      <c r="I1217" s="533"/>
      <c r="J1217" s="533"/>
      <c r="K1217" s="144"/>
      <c r="L1217" s="1403"/>
      <c r="M1217" s="1403"/>
      <c r="O1217" s="69" t="s">
        <v>1804</v>
      </c>
      <c r="P1217" s="1218">
        <f>'Part VIII-Threshold Criteria'!P132</f>
        <v>70.7</v>
      </c>
      <c r="Q1217" s="1218">
        <f>'Part VIII-Threshold Criteria'!Q132</f>
        <v>0</v>
      </c>
    </row>
    <row r="1218" spans="2:17">
      <c r="B1218" s="196"/>
      <c r="C1218" s="69" t="s">
        <v>1805</v>
      </c>
      <c r="D1218" s="54" t="s">
        <v>1433</v>
      </c>
      <c r="E1218" s="533"/>
      <c r="F1218" s="533"/>
      <c r="G1218" s="533"/>
      <c r="H1218" s="54"/>
      <c r="I1218" s="533"/>
      <c r="J1218" s="533"/>
      <c r="K1218" s="144"/>
      <c r="L1218" s="1403"/>
      <c r="M1218" s="1403"/>
      <c r="N1218" s="1403"/>
      <c r="O1218" s="1403"/>
    </row>
    <row r="1219" spans="2:17" ht="45">
      <c r="B1219" s="1219"/>
      <c r="C1219" s="69"/>
      <c r="D1219" s="144" t="str">
        <f>'Part VIII-Threshold Criteria'!D134</f>
        <v>Boulevard NE, Auburn Avenue, 1-85</v>
      </c>
      <c r="E1219" s="144"/>
      <c r="F1219" s="144"/>
      <c r="G1219" s="144"/>
      <c r="H1219" s="144"/>
      <c r="I1219" s="144"/>
      <c r="J1219" s="144"/>
      <c r="K1219" s="144"/>
      <c r="L1219" s="144"/>
      <c r="M1219" s="144"/>
      <c r="N1219" s="144"/>
      <c r="O1219" s="144"/>
      <c r="P1219" s="144"/>
      <c r="Q1219" s="144"/>
    </row>
    <row r="1220" spans="2:17">
      <c r="B1220" s="67" t="s">
        <v>2193</v>
      </c>
      <c r="C1220" s="54" t="s">
        <v>1307</v>
      </c>
      <c r="D1220" s="144"/>
      <c r="E1220" s="144"/>
      <c r="F1220" s="144"/>
      <c r="G1220" s="144"/>
      <c r="H1220" s="144"/>
      <c r="I1220" s="533"/>
      <c r="J1220" s="533"/>
      <c r="K1220" s="144"/>
      <c r="L1220" s="1403"/>
      <c r="M1220" s="1403"/>
      <c r="N1220" s="1403"/>
      <c r="O1220" s="69" t="s">
        <v>2193</v>
      </c>
    </row>
    <row r="1221" spans="2:17">
      <c r="B1221" s="67"/>
      <c r="C1221" s="69" t="s">
        <v>1803</v>
      </c>
      <c r="D1221" s="54" t="s">
        <v>154</v>
      </c>
      <c r="E1221" s="144"/>
      <c r="F1221" s="144"/>
      <c r="G1221" s="144"/>
      <c r="H1221" s="144"/>
      <c r="I1221" s="533"/>
      <c r="J1221" s="533"/>
      <c r="K1221" s="144"/>
      <c r="L1221" s="1403"/>
      <c r="M1221" s="1403"/>
      <c r="O1221" s="69" t="s">
        <v>1803</v>
      </c>
      <c r="P1221" s="1218" t="str">
        <f>'Part VIII-Threshold Criteria'!P136</f>
        <v>No</v>
      </c>
      <c r="Q1221" s="1218">
        <f>'Part VIII-Threshold Criteria'!Q136</f>
        <v>0</v>
      </c>
    </row>
    <row r="1222" spans="2:17">
      <c r="B1222" s="67"/>
      <c r="C1222" s="69" t="s">
        <v>1804</v>
      </c>
      <c r="D1222" s="54" t="s">
        <v>1308</v>
      </c>
      <c r="E1222" s="144"/>
      <c r="F1222" s="144"/>
      <c r="G1222" s="144"/>
      <c r="H1222" s="533"/>
      <c r="I1222" s="533"/>
      <c r="J1222" s="533"/>
      <c r="K1222" s="144"/>
      <c r="L1222" s="1403"/>
      <c r="M1222" s="1403"/>
      <c r="O1222" s="69" t="s">
        <v>1804</v>
      </c>
      <c r="P1222" s="1218" t="str">
        <f>'Part VIII-Threshold Criteria'!P137</f>
        <v>No</v>
      </c>
      <c r="Q1222" s="1218">
        <f>'Part VIII-Threshold Criteria'!Q137</f>
        <v>0</v>
      </c>
    </row>
    <row r="1223" spans="2:17">
      <c r="B1223" s="67"/>
      <c r="C1223" s="69"/>
      <c r="D1223" s="54" t="s">
        <v>2724</v>
      </c>
      <c r="E1223" s="1641" t="s">
        <v>2520</v>
      </c>
      <c r="F1223" s="54" t="s">
        <v>2725</v>
      </c>
      <c r="G1223" s="533"/>
      <c r="H1223" s="54"/>
      <c r="I1223" s="533"/>
      <c r="J1223" s="533"/>
      <c r="K1223" s="144"/>
      <c r="L1223" s="1403"/>
      <c r="M1223" s="1403"/>
      <c r="O1223" s="1641" t="s">
        <v>2520</v>
      </c>
      <c r="P1223" s="1642">
        <f>'Part VIII-Threshold Criteria'!P138</f>
        <v>0</v>
      </c>
      <c r="Q1223" s="1642">
        <f>'Part VIII-Threshold Criteria'!Q138</f>
        <v>0</v>
      </c>
    </row>
    <row r="1224" spans="2:17">
      <c r="B1224" s="67"/>
      <c r="C1224" s="69"/>
      <c r="E1224" s="1641" t="s">
        <v>2521</v>
      </c>
      <c r="F1224" s="54" t="s">
        <v>2726</v>
      </c>
      <c r="G1224" s="533"/>
      <c r="H1224" s="54"/>
      <c r="I1224" s="533"/>
      <c r="J1224" s="533"/>
      <c r="K1224" s="144"/>
      <c r="L1224" s="1403"/>
      <c r="M1224" s="1403"/>
      <c r="O1224" s="1641" t="s">
        <v>2521</v>
      </c>
      <c r="P1224" s="1218">
        <f>'Part VIII-Threshold Criteria'!P139</f>
        <v>0</v>
      </c>
      <c r="Q1224" s="1218">
        <f>'Part VIII-Threshold Criteria'!Q139</f>
        <v>0</v>
      </c>
    </row>
    <row r="1225" spans="2:17">
      <c r="B1225" s="67"/>
      <c r="C1225" s="69"/>
      <c r="E1225" s="1641" t="s">
        <v>2522</v>
      </c>
      <c r="F1225" s="54" t="s">
        <v>2727</v>
      </c>
      <c r="G1225" s="533"/>
      <c r="H1225" s="54"/>
      <c r="I1225" s="533"/>
      <c r="J1225" s="533"/>
      <c r="K1225" s="144"/>
      <c r="L1225" s="1403"/>
      <c r="M1225" s="1403"/>
      <c r="O1225" s="1641" t="s">
        <v>2522</v>
      </c>
      <c r="P1225" s="1218" t="str">
        <f>'Part VIII-Threshold Criteria'!P140</f>
        <v>No</v>
      </c>
      <c r="Q1225" s="1218">
        <f>'Part VIII-Threshold Criteria'!Q140</f>
        <v>0</v>
      </c>
    </row>
    <row r="1226" spans="2:17">
      <c r="B1226" s="67"/>
      <c r="C1226" s="69" t="s">
        <v>1805</v>
      </c>
      <c r="D1226" s="54" t="s">
        <v>1309</v>
      </c>
      <c r="E1226" s="144"/>
      <c r="F1226" s="144"/>
      <c r="G1226" s="144"/>
      <c r="H1226" s="54"/>
      <c r="I1226" s="533"/>
      <c r="J1226" s="533"/>
      <c r="K1226" s="144"/>
      <c r="L1226" s="1403"/>
      <c r="M1226" s="1403"/>
      <c r="O1226" s="69" t="s">
        <v>1805</v>
      </c>
      <c r="P1226" s="1218">
        <f>'Part VIII-Threshold Criteria'!P141</f>
        <v>0</v>
      </c>
      <c r="Q1226" s="1218">
        <f>'Part VIII-Threshold Criteria'!Q141</f>
        <v>0</v>
      </c>
    </row>
    <row r="1227" spans="2:17">
      <c r="B1227" s="67"/>
      <c r="C1227" s="69"/>
      <c r="D1227" s="54" t="s">
        <v>2724</v>
      </c>
      <c r="E1227" s="1641" t="s">
        <v>2520</v>
      </c>
      <c r="F1227" s="54" t="s">
        <v>2728</v>
      </c>
      <c r="G1227" s="533"/>
      <c r="H1227" s="54"/>
      <c r="I1227" s="533"/>
      <c r="J1227" s="533"/>
      <c r="K1227" s="144"/>
      <c r="L1227" s="1403"/>
      <c r="O1227" s="1641" t="s">
        <v>2520</v>
      </c>
      <c r="P1227" s="1642">
        <f>'Part VIII-Threshold Criteria'!P142</f>
        <v>0</v>
      </c>
      <c r="Q1227" s="1642">
        <f>'Part VIII-Threshold Criteria'!Q142</f>
        <v>0</v>
      </c>
    </row>
    <row r="1228" spans="2:17">
      <c r="B1228" s="67"/>
      <c r="C1228" s="69"/>
      <c r="E1228" s="1641" t="s">
        <v>2521</v>
      </c>
      <c r="F1228" s="54" t="s">
        <v>2729</v>
      </c>
      <c r="G1228" s="533"/>
      <c r="H1228" s="54"/>
      <c r="I1228" s="533"/>
      <c r="J1228" s="533"/>
      <c r="O1228" s="1641" t="s">
        <v>2521</v>
      </c>
      <c r="P1228" s="1218">
        <f>'Part VIII-Threshold Criteria'!P143</f>
        <v>0</v>
      </c>
      <c r="Q1228" s="1218">
        <f>'Part VIII-Threshold Criteria'!Q143</f>
        <v>0</v>
      </c>
    </row>
    <row r="1229" spans="2:17">
      <c r="B1229" s="67"/>
      <c r="C1229" s="69"/>
      <c r="E1229" s="1641" t="s">
        <v>2522</v>
      </c>
      <c r="F1229" s="54" t="s">
        <v>2727</v>
      </c>
      <c r="G1229" s="533"/>
      <c r="H1229" s="54"/>
      <c r="I1229" s="533"/>
      <c r="J1229" s="533"/>
      <c r="O1229" s="1641" t="s">
        <v>2522</v>
      </c>
      <c r="P1229" s="1218">
        <f>'Part VIII-Threshold Criteria'!P144</f>
        <v>0</v>
      </c>
      <c r="Q1229" s="1218">
        <f>'Part VIII-Threshold Criteria'!Q144</f>
        <v>0</v>
      </c>
    </row>
    <row r="1230" spans="2:17">
      <c r="B1230" s="54"/>
      <c r="C1230" s="69" t="s">
        <v>2448</v>
      </c>
      <c r="D1230" s="54" t="s">
        <v>2730</v>
      </c>
      <c r="E1230" s="144"/>
      <c r="F1230" s="144"/>
      <c r="G1230" s="144"/>
      <c r="H1230" s="144"/>
      <c r="I1230" s="533"/>
      <c r="J1230" s="533"/>
      <c r="O1230" s="69" t="s">
        <v>2448</v>
      </c>
      <c r="P1230" s="1218" t="str">
        <f>'Part VIII-Threshold Criteria'!P145</f>
        <v>No</v>
      </c>
      <c r="Q1230" s="1218">
        <f>'Part VIII-Threshold Criteria'!Q145</f>
        <v>0</v>
      </c>
    </row>
    <row r="1231" spans="2:17">
      <c r="B1231" s="67" t="s">
        <v>1801</v>
      </c>
      <c r="C1231" s="1220" t="s">
        <v>2499</v>
      </c>
      <c r="D1231" s="144"/>
      <c r="E1231" s="144"/>
      <c r="F1231" s="144"/>
      <c r="G1231" s="144"/>
      <c r="H1231" s="144"/>
      <c r="I1231" s="533"/>
      <c r="J1231" s="533"/>
      <c r="K1231" s="144"/>
      <c r="L1231" s="1403"/>
      <c r="M1231" s="1403"/>
      <c r="N1231" s="1403"/>
      <c r="O1231" s="1403"/>
      <c r="P1231" s="1403"/>
      <c r="Q1231" s="1403"/>
    </row>
    <row r="1232" spans="2:17">
      <c r="C1232" s="69" t="s">
        <v>1803</v>
      </c>
      <c r="D1232" s="54" t="s">
        <v>2581</v>
      </c>
      <c r="E1232" s="144"/>
      <c r="F1232" s="1218" t="str">
        <f>'Part VIII-Threshold Criteria'!F147</f>
        <v>No</v>
      </c>
      <c r="G1232" s="1218">
        <f>'Part VIII-Threshold Criteria'!G147</f>
        <v>0</v>
      </c>
      <c r="H1232" s="69" t="s">
        <v>1606</v>
      </c>
      <c r="I1232" s="467" t="s">
        <v>2732</v>
      </c>
      <c r="L1232" s="1218" t="str">
        <f>'Part VIII-Threshold Criteria'!L147</f>
        <v>No</v>
      </c>
      <c r="M1232" s="1218">
        <f>'Part VIII-Threshold Criteria'!M147</f>
        <v>0</v>
      </c>
      <c r="N1232" s="69" t="s">
        <v>531</v>
      </c>
      <c r="O1232" s="54" t="s">
        <v>1609</v>
      </c>
      <c r="P1232" s="1218" t="str">
        <f>'Part VIII-Threshold Criteria'!P147</f>
        <v>No</v>
      </c>
      <c r="Q1232" s="1218">
        <f>'Part VIII-Threshold Criteria'!Q147</f>
        <v>0</v>
      </c>
    </row>
    <row r="1233" spans="1:17">
      <c r="B1233" s="54"/>
      <c r="C1233" s="69" t="s">
        <v>1804</v>
      </c>
      <c r="D1233" s="54" t="s">
        <v>2923</v>
      </c>
      <c r="E1233" s="144"/>
      <c r="F1233" s="1218" t="str">
        <f>'Part VIII-Threshold Criteria'!F148</f>
        <v>No</v>
      </c>
      <c r="G1233" s="1218">
        <f>'Part VIII-Threshold Criteria'!G148</f>
        <v>0</v>
      </c>
      <c r="H1233" s="69" t="s">
        <v>1607</v>
      </c>
      <c r="I1233" s="467" t="s">
        <v>2733</v>
      </c>
      <c r="L1233" s="1218" t="str">
        <f>'Part VIII-Threshold Criteria'!L148</f>
        <v>No</v>
      </c>
      <c r="M1233" s="1218">
        <f>'Part VIII-Threshold Criteria'!M148</f>
        <v>0</v>
      </c>
      <c r="N1233" s="69" t="s">
        <v>532</v>
      </c>
      <c r="O1233" s="54" t="s">
        <v>1608</v>
      </c>
      <c r="P1233" s="1218" t="str">
        <f>'Part VIII-Threshold Criteria'!P148</f>
        <v>No</v>
      </c>
      <c r="Q1233" s="1218">
        <f>'Part VIII-Threshold Criteria'!Q148</f>
        <v>0</v>
      </c>
    </row>
    <row r="1234" spans="1:17">
      <c r="B1234" s="54"/>
      <c r="C1234" s="69" t="s">
        <v>1805</v>
      </c>
      <c r="D1234" s="54" t="s">
        <v>2731</v>
      </c>
      <c r="E1234" s="144"/>
      <c r="F1234" s="1218" t="str">
        <f>'Part VIII-Threshold Criteria'!F149</f>
        <v>No</v>
      </c>
      <c r="G1234" s="1218">
        <f>'Part VIII-Threshold Criteria'!G149</f>
        <v>0</v>
      </c>
      <c r="H1234" s="69" t="s">
        <v>100</v>
      </c>
      <c r="I1234" s="467" t="s">
        <v>2924</v>
      </c>
      <c r="L1234" s="1218" t="str">
        <f>'Part VIII-Threshold Criteria'!L149</f>
        <v>Yes</v>
      </c>
      <c r="M1234" s="1218">
        <f>'Part VIII-Threshold Criteria'!M149</f>
        <v>0</v>
      </c>
      <c r="N1234" s="69" t="s">
        <v>2926</v>
      </c>
      <c r="O1234" s="54" t="s">
        <v>1610</v>
      </c>
      <c r="P1234" s="1218" t="str">
        <f>'Part VIII-Threshold Criteria'!P149</f>
        <v>No</v>
      </c>
      <c r="Q1234" s="1218">
        <f>'Part VIII-Threshold Criteria'!Q149</f>
        <v>0</v>
      </c>
    </row>
    <row r="1235" spans="1:17">
      <c r="B1235" s="54"/>
      <c r="C1235" s="69" t="s">
        <v>2448</v>
      </c>
      <c r="D1235" s="54" t="s">
        <v>2927</v>
      </c>
      <c r="E1235" s="144"/>
      <c r="F1235" s="1218" t="str">
        <f>'Part VIII-Threshold Criteria'!F150</f>
        <v>Yes</v>
      </c>
      <c r="G1235" s="1218">
        <f>'Part VIII-Threshold Criteria'!G150</f>
        <v>0</v>
      </c>
      <c r="H1235" s="69" t="s">
        <v>530</v>
      </c>
      <c r="I1235" s="54" t="s">
        <v>2922</v>
      </c>
      <c r="L1235" s="1218" t="str">
        <f>'Part VIII-Threshold Criteria'!L150</f>
        <v>Yes</v>
      </c>
      <c r="M1235" s="1218">
        <f>'Part VIII-Threshold Criteria'!M150</f>
        <v>0</v>
      </c>
      <c r="O1235" s="69"/>
    </row>
    <row r="1236" spans="1:17">
      <c r="B1236" s="54"/>
      <c r="C1236" s="69" t="s">
        <v>3038</v>
      </c>
      <c r="D1236" s="54" t="s">
        <v>2925</v>
      </c>
      <c r="E1236" s="144"/>
      <c r="F1236" s="144"/>
      <c r="G1236" s="144"/>
      <c r="H1236" s="144"/>
      <c r="I1236" s="144"/>
      <c r="J1236" s="144"/>
      <c r="K1236" s="144"/>
      <c r="L1236" s="144"/>
      <c r="M1236" s="54"/>
      <c r="O1236" s="69"/>
      <c r="P1236" s="69"/>
    </row>
    <row r="1237" spans="1:17">
      <c r="B1237" s="54"/>
      <c r="D1237" s="234">
        <v>0</v>
      </c>
      <c r="E1237" s="234"/>
      <c r="F1237" s="234"/>
      <c r="G1237" s="234"/>
      <c r="H1237" s="234"/>
      <c r="I1237" s="234"/>
      <c r="J1237" s="234"/>
      <c r="K1237" s="234"/>
      <c r="L1237" s="234"/>
      <c r="M1237" s="234"/>
      <c r="N1237" s="234"/>
      <c r="O1237" s="234"/>
      <c r="P1237" s="234"/>
      <c r="Q1237" s="1218">
        <f>'Part VIII-Threshold Criteria'!Q152</f>
        <v>0</v>
      </c>
    </row>
    <row r="1238" spans="1:17">
      <c r="B1238" s="67" t="s">
        <v>1802</v>
      </c>
      <c r="C1238" s="54" t="s">
        <v>3857</v>
      </c>
      <c r="D1238" s="144"/>
      <c r="E1238" s="144"/>
      <c r="F1238" s="144"/>
      <c r="G1238" s="144"/>
      <c r="H1238" s="144"/>
      <c r="I1238" s="533"/>
      <c r="J1238" s="533"/>
      <c r="K1238" s="144"/>
      <c r="L1238" s="144"/>
      <c r="M1238" s="1403"/>
    </row>
    <row r="1239" spans="1:17">
      <c r="A1239" s="781"/>
      <c r="B1239" s="533"/>
      <c r="C1239" s="69" t="s">
        <v>1803</v>
      </c>
      <c r="D1239" s="54" t="s">
        <v>2928</v>
      </c>
      <c r="E1239" s="144"/>
      <c r="F1239" s="144"/>
      <c r="G1239" s="144"/>
      <c r="H1239" s="144"/>
      <c r="O1239" s="69" t="s">
        <v>1803</v>
      </c>
      <c r="P1239" s="1218" t="str">
        <f>'Part VIII-Threshold Criteria'!P154</f>
        <v>No</v>
      </c>
      <c r="Q1239" s="1218">
        <f>'Part VIII-Threshold Criteria'!Q154</f>
        <v>0</v>
      </c>
    </row>
    <row r="1240" spans="1:17">
      <c r="A1240" s="781"/>
      <c r="B1240" s="1407"/>
      <c r="C1240" s="69" t="s">
        <v>1804</v>
      </c>
      <c r="D1240" s="54" t="s">
        <v>508</v>
      </c>
      <c r="E1240" s="54"/>
      <c r="F1240" s="54"/>
      <c r="G1240" s="54"/>
      <c r="H1240" s="54"/>
      <c r="I1240" s="533"/>
      <c r="J1240" s="533"/>
      <c r="K1240" s="54"/>
      <c r="L1240" s="54"/>
      <c r="M1240" s="54"/>
      <c r="O1240" s="69" t="s">
        <v>1804</v>
      </c>
      <c r="P1240" s="1218" t="str">
        <f>'Part VIII-Threshold Criteria'!P155</f>
        <v>No</v>
      </c>
      <c r="Q1240" s="1218">
        <f>'Part VIII-Threshold Criteria'!Q155</f>
        <v>0</v>
      </c>
    </row>
    <row r="1241" spans="1:17">
      <c r="A1241" s="781"/>
      <c r="B1241" s="1407"/>
      <c r="C1241" s="69" t="s">
        <v>1805</v>
      </c>
      <c r="D1241" s="54" t="s">
        <v>707</v>
      </c>
      <c r="E1241" s="54"/>
      <c r="F1241" s="54"/>
      <c r="G1241" s="54"/>
      <c r="H1241" s="54"/>
      <c r="I1241" s="533"/>
      <c r="J1241" s="533"/>
      <c r="K1241" s="54"/>
      <c r="L1241" s="54"/>
      <c r="M1241" s="54"/>
      <c r="O1241" s="69" t="s">
        <v>1805</v>
      </c>
      <c r="P1241" s="1218" t="str">
        <f>'Part VIII-Threshold Criteria'!P156</f>
        <v>No</v>
      </c>
      <c r="Q1241" s="1218">
        <f>'Part VIII-Threshold Criteria'!Q156</f>
        <v>0</v>
      </c>
    </row>
    <row r="1242" spans="1:17">
      <c r="B1242" s="67" t="s">
        <v>2021</v>
      </c>
      <c r="C1242" s="54" t="s">
        <v>1819</v>
      </c>
      <c r="D1242" s="144"/>
      <c r="E1242" s="144"/>
      <c r="F1242" s="144"/>
      <c r="G1242" s="144"/>
      <c r="H1242" s="144"/>
      <c r="I1242" s="533"/>
      <c r="J1242" s="533"/>
      <c r="K1242" s="144"/>
      <c r="L1242" s="144"/>
      <c r="M1242" s="1403"/>
      <c r="O1242" s="69" t="s">
        <v>2021</v>
      </c>
      <c r="P1242" s="1218">
        <f>'Part VIII-Threshold Criteria'!P157</f>
        <v>0</v>
      </c>
      <c r="Q1242" s="1218">
        <f>'Part VIII-Threshold Criteria'!Q157</f>
        <v>0</v>
      </c>
    </row>
    <row r="1243" spans="1:17">
      <c r="A1243" s="1643" t="s">
        <v>3719</v>
      </c>
      <c r="C1243" s="54"/>
      <c r="D1243" s="144"/>
      <c r="E1243" s="144"/>
      <c r="F1243" s="144"/>
      <c r="G1243" s="144"/>
      <c r="H1243" s="144"/>
      <c r="I1243" s="533"/>
      <c r="J1243" s="533"/>
      <c r="K1243" s="144"/>
      <c r="L1243" s="144"/>
      <c r="M1243" s="1403"/>
      <c r="N1243" s="1403"/>
      <c r="O1243" s="1403"/>
      <c r="P1243" s="1403"/>
      <c r="Q1243" s="1403"/>
    </row>
    <row r="1244" spans="1:17" ht="12.75" customHeight="1">
      <c r="A1244" s="533"/>
      <c r="B1244" s="1611" t="s">
        <v>3560</v>
      </c>
      <c r="C1244" s="1221" t="s">
        <v>153</v>
      </c>
      <c r="D1244" s="1221"/>
      <c r="E1244" s="1221"/>
      <c r="F1244" s="1221"/>
      <c r="G1244" s="1221"/>
      <c r="H1244" s="1221"/>
      <c r="I1244" s="1221"/>
      <c r="J1244" s="1221"/>
      <c r="K1244" s="1221"/>
      <c r="L1244" s="1221"/>
      <c r="M1244" s="236" t="s">
        <v>3560</v>
      </c>
      <c r="N1244" s="1326" t="str">
        <f>'Part VIII-Threshold Criteria'!N159</f>
        <v>&lt;&lt;Select&gt;&gt;</v>
      </c>
      <c r="O1244" s="1326"/>
      <c r="P1244" s="1326" t="str">
        <f>'Part VIII-Threshold Criteria'!P159</f>
        <v>&lt;&lt;Select&gt;&gt;</v>
      </c>
      <c r="Q1244" s="1326"/>
    </row>
    <row r="1245" spans="1:17">
      <c r="A1245" s="533"/>
      <c r="B1245" s="67" t="s">
        <v>640</v>
      </c>
      <c r="C1245" s="1220" t="s">
        <v>1</v>
      </c>
      <c r="D1245" s="1644"/>
      <c r="E1245" s="1644"/>
      <c r="F1245" s="533"/>
      <c r="G1245" s="69" t="s">
        <v>640</v>
      </c>
      <c r="H1245" s="144">
        <f>'Part VIII-Threshold Criteria'!H160</f>
        <v>0</v>
      </c>
      <c r="I1245" s="144"/>
      <c r="J1245" s="144"/>
      <c r="K1245" s="144"/>
      <c r="L1245" s="144"/>
      <c r="M1245" s="144"/>
      <c r="N1245" s="144"/>
      <c r="O1245" s="144"/>
      <c r="P1245" s="144"/>
      <c r="Q1245" s="1218">
        <f>'Part VIII-Threshold Criteria'!Q160</f>
        <v>0</v>
      </c>
    </row>
    <row r="1246" spans="1:17">
      <c r="A1246" s="533"/>
      <c r="B1246" s="67" t="s">
        <v>3561</v>
      </c>
      <c r="C1246" s="1220" t="s">
        <v>1469</v>
      </c>
      <c r="D1246" s="1645"/>
      <c r="E1246" s="1645"/>
      <c r="F1246" s="1645"/>
      <c r="G1246" s="484"/>
      <c r="H1246" s="484"/>
      <c r="I1246" s="1220"/>
      <c r="J1246" s="533"/>
      <c r="K1246" s="484"/>
      <c r="L1246" s="484"/>
      <c r="M1246" s="484"/>
      <c r="N1246" s="533"/>
      <c r="O1246" s="69" t="s">
        <v>3561</v>
      </c>
      <c r="P1246" s="1218">
        <f>'Part VIII-Threshold Criteria'!P161</f>
        <v>0</v>
      </c>
      <c r="Q1246" s="1218">
        <f>'Part VIII-Threshold Criteria'!Q161</f>
        <v>0</v>
      </c>
    </row>
    <row r="1247" spans="1:17">
      <c r="B1247" s="101" t="s">
        <v>1936</v>
      </c>
      <c r="D1247" s="101"/>
      <c r="E1247" s="101"/>
      <c r="F1247" s="101"/>
      <c r="G1247" s="101"/>
      <c r="H1247" s="1220"/>
      <c r="I1247" s="1407"/>
      <c r="J1247" s="1407"/>
      <c r="K1247" s="1407"/>
      <c r="L1247" s="1219"/>
      <c r="M1247" s="1219"/>
      <c r="N1247" s="1219"/>
      <c r="O1247" s="1219"/>
      <c r="P1247" s="1219"/>
      <c r="Q1247" s="1219"/>
    </row>
    <row r="1248" spans="1:17" ht="202.5">
      <c r="A1248" s="1221" t="str">
        <f>'Part VIII-Threshold Criteria'!A163</f>
        <v>The applicant commissioned enviornmental assessment was conducted in conformance with DCA's requirements and has been included in Tab 7.</v>
      </c>
      <c r="B1248" s="1221"/>
      <c r="C1248" s="1221"/>
      <c r="D1248" s="1221"/>
      <c r="E1248" s="1221"/>
      <c r="F1248" s="1221"/>
      <c r="G1248" s="1221"/>
      <c r="H1248" s="1221"/>
      <c r="I1248" s="1221"/>
      <c r="J1248" s="1221"/>
      <c r="K1248" s="1221"/>
      <c r="L1248" s="1221"/>
      <c r="M1248" s="1221"/>
      <c r="N1248" s="1221"/>
      <c r="O1248" s="1221"/>
      <c r="P1248" s="1221"/>
      <c r="Q1248" s="1221"/>
    </row>
    <row r="1250" spans="1:17">
      <c r="B1250" s="147" t="s">
        <v>1937</v>
      </c>
      <c r="C1250" s="148"/>
      <c r="D1250" s="1400"/>
      <c r="E1250" s="1400"/>
      <c r="F1250" s="1400"/>
      <c r="G1250" s="1400"/>
      <c r="H1250" s="1400"/>
      <c r="I1250" s="1400"/>
      <c r="J1250" s="1400"/>
      <c r="K1250" s="1400"/>
      <c r="L1250" s="1400"/>
      <c r="M1250" s="1400"/>
      <c r="N1250" s="1400"/>
      <c r="O1250" s="1400"/>
      <c r="P1250" s="1400"/>
      <c r="Q1250" s="1400"/>
    </row>
    <row r="1251" spans="1:17">
      <c r="A1251" s="1221">
        <f>'Part VIII-Threshold Criteria'!A166</f>
        <v>0</v>
      </c>
      <c r="B1251" s="1221"/>
      <c r="C1251" s="1221"/>
      <c r="D1251" s="1221"/>
      <c r="E1251" s="1221"/>
      <c r="F1251" s="1221"/>
      <c r="G1251" s="1221"/>
      <c r="H1251" s="1221"/>
      <c r="I1251" s="1221"/>
      <c r="J1251" s="1221"/>
      <c r="K1251" s="1221"/>
      <c r="L1251" s="1221"/>
      <c r="M1251" s="1221"/>
      <c r="N1251" s="1221"/>
      <c r="O1251" s="1221"/>
      <c r="P1251" s="1221"/>
      <c r="Q1251" s="1221"/>
    </row>
    <row r="1252" spans="1:17">
      <c r="A1252" s="1219"/>
      <c r="B1252" s="1407"/>
      <c r="C1252" s="1400"/>
      <c r="D1252" s="1400"/>
      <c r="E1252" s="1400"/>
      <c r="F1252" s="1400"/>
      <c r="G1252" s="1400"/>
      <c r="H1252" s="1400"/>
      <c r="I1252" s="1400"/>
      <c r="J1252" s="1400"/>
      <c r="K1252" s="1400"/>
      <c r="L1252" s="1400"/>
      <c r="M1252" s="1400"/>
      <c r="N1252" s="1400"/>
      <c r="O1252" s="1400"/>
      <c r="P1252" s="1400"/>
      <c r="Q1252" s="1219"/>
    </row>
    <row r="1253" spans="1:17">
      <c r="A1253" s="2">
        <v>8</v>
      </c>
      <c r="B1253" s="2" t="s">
        <v>2749</v>
      </c>
      <c r="C1253" s="2"/>
      <c r="D1253" s="1400"/>
      <c r="E1253" s="1400"/>
      <c r="F1253" s="1400"/>
      <c r="G1253" s="1400"/>
      <c r="H1253" s="1400"/>
      <c r="I1253" s="1400"/>
      <c r="J1253" s="1400"/>
      <c r="K1253" s="1400"/>
      <c r="O1253" s="142" t="s">
        <v>1938</v>
      </c>
      <c r="P1253" s="1159">
        <f>'Part VIII-Threshold Criteria'!P168</f>
        <v>0</v>
      </c>
      <c r="Q1253" s="1159"/>
    </row>
    <row r="1254" spans="1:17">
      <c r="B1254" s="67" t="s">
        <v>2058</v>
      </c>
      <c r="C1254" s="54" t="s">
        <v>4171</v>
      </c>
      <c r="D1254" s="54"/>
      <c r="E1254" s="54"/>
      <c r="F1254" s="54"/>
      <c r="G1254" s="54"/>
      <c r="I1254" s="54" t="s">
        <v>2812</v>
      </c>
      <c r="K1254" s="1646">
        <f>'Part VIII-Threshold Criteria'!K169</f>
        <v>43084</v>
      </c>
      <c r="L1254" s="1646"/>
      <c r="N1254" s="54"/>
      <c r="O1254" s="69" t="s">
        <v>2058</v>
      </c>
      <c r="P1254" s="1218" t="str">
        <f>'Part VIII-Threshold Criteria'!P169</f>
        <v>Yes</v>
      </c>
      <c r="Q1254" s="1218">
        <f>'Part VIII-Threshold Criteria'!Q169</f>
        <v>0</v>
      </c>
    </row>
    <row r="1255" spans="1:17">
      <c r="A1255" s="196"/>
      <c r="B1255" s="67" t="s">
        <v>2061</v>
      </c>
      <c r="C1255" s="150" t="s">
        <v>155</v>
      </c>
      <c r="D1255" s="150"/>
      <c r="E1255" s="150"/>
      <c r="F1255" s="150"/>
      <c r="G1255" s="150"/>
      <c r="H1255" s="150"/>
      <c r="M1255" s="69" t="s">
        <v>2061</v>
      </c>
      <c r="N1255" s="93" t="str">
        <f>'Part VIII-Threshold Criteria'!N170</f>
        <v>Contract/Option</v>
      </c>
      <c r="O1255" s="93"/>
      <c r="P1255" s="93" t="str">
        <f>'Part VIII-Threshold Criteria'!P170</f>
        <v>&lt;&lt;Select&gt;&gt;</v>
      </c>
      <c r="Q1255" s="93"/>
    </row>
    <row r="1256" spans="1:17">
      <c r="A1256" s="196"/>
      <c r="B1256" s="67" t="s">
        <v>779</v>
      </c>
      <c r="C1256" s="150" t="s">
        <v>708</v>
      </c>
      <c r="D1256" s="150"/>
      <c r="E1256" s="150"/>
      <c r="F1256" s="150"/>
      <c r="G1256" s="150"/>
      <c r="H1256" s="150"/>
      <c r="J1256" s="69" t="s">
        <v>779</v>
      </c>
      <c r="K1256" s="234" t="str">
        <f>'Part VIII-Threshold Criteria'!K171</f>
        <v>Wheat Street Towers, LLC</v>
      </c>
      <c r="L1256" s="234"/>
      <c r="M1256" s="234"/>
      <c r="N1256" s="234"/>
      <c r="O1256" s="234"/>
      <c r="P1256" s="234"/>
      <c r="Q1256" s="1218">
        <f>'Part VIII-Threshold Criteria'!Q171</f>
        <v>0</v>
      </c>
    </row>
    <row r="1257" spans="1:17">
      <c r="A1257" s="196"/>
      <c r="B1257" s="67" t="s">
        <v>2193</v>
      </c>
      <c r="C1257" s="150" t="s">
        <v>3024</v>
      </c>
      <c r="D1257" s="150"/>
      <c r="E1257" s="150"/>
      <c r="F1257" s="150"/>
      <c r="G1257" s="150"/>
      <c r="H1257" s="150"/>
      <c r="J1257" s="69"/>
      <c r="K1257" s="69"/>
      <c r="L1257" s="69"/>
      <c r="M1257" s="69"/>
      <c r="N1257" s="69"/>
      <c r="O1257" s="69" t="s">
        <v>2193</v>
      </c>
      <c r="P1257" s="1218" t="str">
        <f>'Part VIII-Threshold Criteria'!P172</f>
        <v>Yes</v>
      </c>
      <c r="Q1257" s="1218">
        <f>'Part VIII-Threshold Criteria'!Q172</f>
        <v>0</v>
      </c>
    </row>
    <row r="1258" spans="1:17">
      <c r="B1258" s="101" t="s">
        <v>1936</v>
      </c>
      <c r="D1258" s="101"/>
      <c r="E1258" s="101"/>
      <c r="F1258" s="101"/>
      <c r="G1258" s="101"/>
      <c r="H1258" s="1220"/>
      <c r="I1258" s="1407"/>
      <c r="J1258" s="1407"/>
      <c r="K1258" s="1407"/>
      <c r="L1258" s="1219"/>
      <c r="M1258" s="1219"/>
      <c r="N1258" s="1219"/>
      <c r="O1258" s="1219"/>
      <c r="P1258" s="1219"/>
      <c r="Q1258" s="1219"/>
    </row>
    <row r="1259" spans="1:17" ht="213.75">
      <c r="A1259" s="1221" t="str">
        <f>'Part VIII-Threshold Criteria'!A174</f>
        <v>Wheat Street Towers, LLC is the proposed owner/applicant. Wheat Street Charitable Foundation currently owns the property and is also the principal of the co-developer and other-GP.</v>
      </c>
      <c r="B1259" s="1221"/>
      <c r="C1259" s="1221"/>
      <c r="D1259" s="1221"/>
      <c r="E1259" s="1221"/>
      <c r="F1259" s="1221"/>
      <c r="G1259" s="1221"/>
      <c r="H1259" s="1221"/>
      <c r="I1259" s="1221"/>
      <c r="J1259" s="1221"/>
      <c r="K1259" s="1221"/>
      <c r="L1259" s="1221"/>
      <c r="M1259" s="1221"/>
      <c r="N1259" s="1221"/>
      <c r="O1259" s="1221"/>
      <c r="P1259" s="1221"/>
      <c r="Q1259" s="1221"/>
    </row>
    <row r="1260" spans="1:17">
      <c r="B1260" s="147" t="s">
        <v>1937</v>
      </c>
      <c r="C1260" s="148"/>
      <c r="D1260" s="1400"/>
      <c r="E1260" s="1400"/>
      <c r="F1260" s="1400"/>
      <c r="G1260" s="1400"/>
      <c r="H1260" s="1400"/>
      <c r="I1260" s="1400"/>
      <c r="J1260" s="1400"/>
      <c r="K1260" s="1400"/>
      <c r="L1260" s="1400"/>
      <c r="M1260" s="1400"/>
      <c r="N1260" s="1400"/>
      <c r="O1260" s="1400"/>
      <c r="P1260" s="1400"/>
    </row>
    <row r="1261" spans="1:17">
      <c r="A1261" s="1221">
        <f>'Part VIII-Threshold Criteria'!A176</f>
        <v>0</v>
      </c>
      <c r="B1261" s="1221"/>
      <c r="C1261" s="1221"/>
      <c r="D1261" s="1221"/>
      <c r="E1261" s="1221"/>
      <c r="F1261" s="1221"/>
      <c r="G1261" s="1221"/>
      <c r="H1261" s="1221"/>
      <c r="I1261" s="1221"/>
      <c r="J1261" s="1221"/>
      <c r="K1261" s="1221"/>
      <c r="L1261" s="1221"/>
      <c r="M1261" s="1221"/>
      <c r="N1261" s="1221"/>
      <c r="O1261" s="1221"/>
      <c r="P1261" s="1221"/>
      <c r="Q1261" s="1221"/>
    </row>
    <row r="1262" spans="1:17">
      <c r="A1262" s="1219"/>
      <c r="B1262" s="1407"/>
      <c r="C1262" s="1400"/>
      <c r="D1262" s="1400"/>
      <c r="E1262" s="1400"/>
      <c r="F1262" s="1400"/>
      <c r="G1262" s="1400"/>
      <c r="H1262" s="1400"/>
      <c r="I1262" s="1400"/>
      <c r="J1262" s="1400"/>
      <c r="K1262" s="1400"/>
      <c r="L1262" s="1400"/>
      <c r="M1262" s="1400"/>
      <c r="Q1262" s="1219"/>
    </row>
    <row r="1263" spans="1:17">
      <c r="A1263" s="2">
        <v>9</v>
      </c>
      <c r="B1263" s="2" t="s">
        <v>2750</v>
      </c>
      <c r="C1263" s="2"/>
      <c r="D1263" s="1400"/>
      <c r="E1263" s="1400"/>
      <c r="F1263" s="1400"/>
      <c r="G1263" s="1400"/>
      <c r="H1263" s="1400"/>
      <c r="I1263" s="1400"/>
      <c r="J1263" s="1400"/>
      <c r="K1263" s="1400"/>
      <c r="L1263" s="1400"/>
      <c r="M1263" s="1400"/>
      <c r="O1263" s="142" t="s">
        <v>1938</v>
      </c>
      <c r="P1263" s="1159">
        <f>'Part VIII-Threshold Criteria'!P178</f>
        <v>0</v>
      </c>
      <c r="Q1263" s="1159"/>
    </row>
    <row r="1264" spans="1:17" ht="12.75" customHeight="1">
      <c r="B1264" s="1611" t="s">
        <v>2058</v>
      </c>
      <c r="C1264" s="1221" t="s">
        <v>4055</v>
      </c>
      <c r="D1264" s="1221"/>
      <c r="E1264" s="1221"/>
      <c r="F1264" s="1221"/>
      <c r="G1264" s="1221"/>
      <c r="H1264" s="1221"/>
      <c r="I1264" s="1221"/>
      <c r="J1264" s="1221"/>
      <c r="K1264" s="1221"/>
      <c r="L1264" s="1221"/>
      <c r="M1264" s="1221"/>
      <c r="N1264" s="1221"/>
      <c r="O1264" s="236" t="s">
        <v>2058</v>
      </c>
      <c r="P1264" s="1218" t="str">
        <f>'Part VIII-Threshold Criteria'!P179</f>
        <v>Yes</v>
      </c>
      <c r="Q1264" s="1218">
        <f>'Part VIII-Threshold Criteria'!Q179</f>
        <v>0</v>
      </c>
    </row>
    <row r="1265" spans="1:17" ht="12.75" customHeight="1">
      <c r="B1265" s="1611" t="s">
        <v>2061</v>
      </c>
      <c r="C1265" s="1221" t="s">
        <v>4056</v>
      </c>
      <c r="D1265" s="1221"/>
      <c r="E1265" s="1221"/>
      <c r="F1265" s="1221"/>
      <c r="G1265" s="1221"/>
      <c r="H1265" s="1221"/>
      <c r="I1265" s="1221"/>
      <c r="J1265" s="1221"/>
      <c r="K1265" s="1221"/>
      <c r="L1265" s="1221"/>
      <c r="M1265" s="1221"/>
      <c r="N1265" s="1221"/>
      <c r="O1265" s="236" t="s">
        <v>2061</v>
      </c>
      <c r="P1265" s="1218">
        <f>'Part VIII-Threshold Criteria'!P180</f>
        <v>0</v>
      </c>
      <c r="Q1265" s="1218">
        <f>'Part VIII-Threshold Criteria'!Q180</f>
        <v>0</v>
      </c>
    </row>
    <row r="1266" spans="1:17" ht="12.75" customHeight="1">
      <c r="B1266" s="1611" t="s">
        <v>779</v>
      </c>
      <c r="C1266" s="1221" t="s">
        <v>2734</v>
      </c>
      <c r="D1266" s="1221"/>
      <c r="E1266" s="1221"/>
      <c r="F1266" s="1221"/>
      <c r="G1266" s="1221"/>
      <c r="H1266" s="1221"/>
      <c r="I1266" s="1221"/>
      <c r="J1266" s="1221"/>
      <c r="K1266" s="1221"/>
      <c r="L1266" s="1221"/>
      <c r="M1266" s="1221"/>
      <c r="N1266" s="1221"/>
      <c r="O1266" s="236" t="s">
        <v>779</v>
      </c>
      <c r="P1266" s="1218">
        <f>'Part VIII-Threshold Criteria'!P181</f>
        <v>0</v>
      </c>
      <c r="Q1266" s="1218">
        <f>'Part VIII-Threshold Criteria'!Q181</f>
        <v>0</v>
      </c>
    </row>
    <row r="1267" spans="1:17">
      <c r="B1267" s="101" t="s">
        <v>1936</v>
      </c>
      <c r="D1267" s="101"/>
      <c r="E1267" s="101"/>
      <c r="F1267" s="101"/>
      <c r="G1267" s="101"/>
      <c r="H1267" s="1220"/>
      <c r="I1267" s="1407"/>
      <c r="J1267" s="1407"/>
      <c r="K1267" s="1407"/>
      <c r="L1267" s="1219"/>
      <c r="M1267" s="1219"/>
      <c r="N1267" s="1219"/>
      <c r="O1267" s="1219"/>
      <c r="P1267" s="1219"/>
      <c r="Q1267" s="1219"/>
    </row>
    <row r="1268" spans="1:17" ht="191.25">
      <c r="A1268" s="1221" t="str">
        <f>'Part VIII-Threshold Criteria'!A183</f>
        <v>The site is accessible from Auburn Avenue, a legally acessible paved road. Property survey and photographs have been included in the application in Tab 9.</v>
      </c>
      <c r="B1268" s="1221"/>
      <c r="C1268" s="1221"/>
      <c r="D1268" s="1221"/>
      <c r="E1268" s="1221"/>
      <c r="F1268" s="1221"/>
      <c r="G1268" s="1221"/>
      <c r="H1268" s="1221"/>
      <c r="I1268" s="1221"/>
      <c r="J1268" s="1221"/>
      <c r="K1268" s="1221"/>
      <c r="L1268" s="1221"/>
      <c r="M1268" s="1221"/>
      <c r="N1268" s="1221"/>
      <c r="O1268" s="1221"/>
      <c r="P1268" s="1221"/>
      <c r="Q1268" s="1221"/>
    </row>
    <row r="1269" spans="1:17">
      <c r="B1269" s="147" t="s">
        <v>1937</v>
      </c>
      <c r="C1269" s="148"/>
      <c r="D1269" s="1400"/>
      <c r="E1269" s="1400"/>
      <c r="F1269" s="1400"/>
      <c r="G1269" s="1400"/>
      <c r="H1269" s="1400"/>
      <c r="I1269" s="1400"/>
      <c r="J1269" s="1400"/>
      <c r="K1269" s="1400"/>
      <c r="L1269" s="1400"/>
      <c r="M1269" s="1400"/>
      <c r="N1269" s="1400"/>
      <c r="O1269" s="1400"/>
      <c r="P1269" s="1400"/>
    </row>
    <row r="1270" spans="1:17">
      <c r="A1270" s="1221">
        <f>'Part VIII-Threshold Criteria'!A185</f>
        <v>0</v>
      </c>
      <c r="B1270" s="1221"/>
      <c r="C1270" s="1221"/>
      <c r="D1270" s="1221"/>
      <c r="E1270" s="1221"/>
      <c r="F1270" s="1221"/>
      <c r="G1270" s="1221"/>
      <c r="H1270" s="1221"/>
      <c r="I1270" s="1221"/>
      <c r="J1270" s="1221"/>
      <c r="K1270" s="1221"/>
      <c r="L1270" s="1221"/>
      <c r="M1270" s="1221"/>
      <c r="N1270" s="1221"/>
      <c r="O1270" s="1221"/>
      <c r="P1270" s="1221"/>
      <c r="Q1270" s="1221"/>
    </row>
    <row r="1271" spans="1:17">
      <c r="B1271" s="1407"/>
      <c r="C1271" s="1400"/>
      <c r="D1271" s="1400"/>
      <c r="E1271" s="1400"/>
      <c r="F1271" s="1400"/>
      <c r="G1271" s="1400"/>
      <c r="H1271" s="1400"/>
      <c r="I1271" s="1400"/>
      <c r="J1271" s="1400"/>
      <c r="K1271" s="1400"/>
      <c r="L1271" s="1400"/>
      <c r="M1271" s="1400"/>
      <c r="N1271" s="1400"/>
      <c r="O1271" s="1400"/>
      <c r="P1271" s="1400"/>
      <c r="Q1271" s="1219"/>
    </row>
    <row r="1272" spans="1:17">
      <c r="A1272" s="30">
        <v>10</v>
      </c>
      <c r="B1272" s="10" t="s">
        <v>2751</v>
      </c>
      <c r="C1272" s="10"/>
      <c r="D1272" s="10"/>
      <c r="O1272" s="142" t="s">
        <v>1938</v>
      </c>
      <c r="P1272" s="1159">
        <f>'Part VIII-Threshold Criteria'!P187</f>
        <v>0</v>
      </c>
      <c r="Q1272" s="1159"/>
    </row>
    <row r="1273" spans="1:17">
      <c r="B1273" s="1611" t="s">
        <v>2058</v>
      </c>
      <c r="C1273" s="1176" t="s">
        <v>485</v>
      </c>
      <c r="D1273" s="1176"/>
      <c r="E1273" s="1176"/>
      <c r="F1273" s="1176"/>
      <c r="G1273" s="1176"/>
      <c r="H1273" s="1176"/>
      <c r="I1273" s="1176"/>
      <c r="J1273" s="1176"/>
      <c r="K1273" s="1176"/>
      <c r="L1273" s="1176"/>
      <c r="M1273" s="1176"/>
      <c r="O1273" s="236" t="s">
        <v>2058</v>
      </c>
      <c r="P1273" s="1218" t="str">
        <f>'Part VIII-Threshold Criteria'!P188</f>
        <v>Yes</v>
      </c>
      <c r="Q1273" s="1218">
        <f>'Part VIII-Threshold Criteria'!Q188</f>
        <v>0</v>
      </c>
    </row>
    <row r="1274" spans="1:17">
      <c r="B1274" s="1611" t="s">
        <v>2061</v>
      </c>
      <c r="C1274" s="1176" t="s">
        <v>2735</v>
      </c>
      <c r="D1274" s="1176"/>
      <c r="E1274" s="1176"/>
      <c r="F1274" s="1176"/>
      <c r="G1274" s="1176"/>
      <c r="H1274" s="1176"/>
      <c r="I1274" s="1176"/>
      <c r="J1274" s="1176"/>
      <c r="K1274" s="1176"/>
      <c r="L1274" s="1176"/>
      <c r="M1274" s="1176"/>
      <c r="O1274" s="236" t="s">
        <v>2061</v>
      </c>
      <c r="P1274" s="1218" t="str">
        <f>'Part VIII-Threshold Criteria'!P189</f>
        <v>Yes</v>
      </c>
      <c r="Q1274" s="1218">
        <f>'Part VIII-Threshold Criteria'!Q189</f>
        <v>0</v>
      </c>
    </row>
    <row r="1275" spans="1:17">
      <c r="B1275" s="1611" t="s">
        <v>779</v>
      </c>
      <c r="C1275" s="1176" t="s">
        <v>2736</v>
      </c>
      <c r="D1275" s="1176"/>
      <c r="E1275" s="1176"/>
      <c r="F1275" s="1176"/>
      <c r="G1275" s="1176"/>
      <c r="H1275" s="1176"/>
      <c r="I1275" s="1176"/>
      <c r="J1275" s="1176"/>
      <c r="K1275" s="1176"/>
      <c r="L1275" s="1176"/>
      <c r="M1275" s="1176"/>
      <c r="O1275" s="236" t="s">
        <v>779</v>
      </c>
      <c r="P1275" s="1218" t="str">
        <f>'Part VIII-Threshold Criteria'!P190</f>
        <v>Yes</v>
      </c>
      <c r="Q1275" s="1218">
        <f>'Part VIII-Threshold Criteria'!Q190</f>
        <v>0</v>
      </c>
    </row>
    <row r="1276" spans="1:17">
      <c r="B1276" s="1611"/>
      <c r="C1276" s="1176" t="s">
        <v>2724</v>
      </c>
      <c r="D1276" s="1176"/>
      <c r="E1276" s="1641" t="s">
        <v>1803</v>
      </c>
      <c r="F1276" s="1176" t="s">
        <v>2737</v>
      </c>
      <c r="G1276" s="1176"/>
      <c r="H1276" s="1176"/>
      <c r="I1276" s="1176"/>
      <c r="J1276" s="1176"/>
      <c r="K1276" s="1176"/>
      <c r="L1276" s="1176"/>
      <c r="M1276" s="1176"/>
      <c r="O1276" s="1641" t="s">
        <v>1803</v>
      </c>
      <c r="P1276" s="1218" t="str">
        <f>'Part VIII-Threshold Criteria'!P191</f>
        <v>Yes</v>
      </c>
      <c r="Q1276" s="1218">
        <f>'Part VIII-Threshold Criteria'!Q191</f>
        <v>0</v>
      </c>
    </row>
    <row r="1277" spans="1:17">
      <c r="B1277" s="1611"/>
      <c r="C1277" s="1176"/>
      <c r="D1277" s="1176"/>
      <c r="E1277" s="1641" t="s">
        <v>1804</v>
      </c>
      <c r="F1277" s="1176" t="s">
        <v>2738</v>
      </c>
      <c r="G1277" s="1176"/>
      <c r="H1277" s="1176"/>
      <c r="I1277" s="1176"/>
      <c r="J1277" s="1176"/>
      <c r="K1277" s="1176"/>
      <c r="L1277" s="1176"/>
      <c r="M1277" s="1176"/>
      <c r="O1277" s="1641" t="s">
        <v>1804</v>
      </c>
      <c r="P1277" s="1218" t="str">
        <f>'Part VIII-Threshold Criteria'!P192</f>
        <v>Yes</v>
      </c>
      <c r="Q1277" s="1218">
        <f>'Part VIII-Threshold Criteria'!Q192</f>
        <v>0</v>
      </c>
    </row>
    <row r="1278" spans="1:17" ht="12.75" customHeight="1">
      <c r="A1278" s="532"/>
      <c r="B1278" s="1611"/>
      <c r="C1278" s="1176"/>
      <c r="D1278" s="1176"/>
      <c r="E1278" s="236" t="s">
        <v>1805</v>
      </c>
      <c r="F1278" s="1221" t="s">
        <v>3734</v>
      </c>
      <c r="G1278" s="1221"/>
      <c r="H1278" s="1221"/>
      <c r="I1278" s="1221"/>
      <c r="J1278" s="1221"/>
      <c r="K1278" s="1221"/>
      <c r="L1278" s="1221"/>
      <c r="M1278" s="1221"/>
      <c r="N1278" s="1221"/>
      <c r="O1278" s="236" t="s">
        <v>1805</v>
      </c>
      <c r="P1278" s="1218" t="str">
        <f>'Part VIII-Threshold Criteria'!P193</f>
        <v>Yes</v>
      </c>
      <c r="Q1278" s="1218">
        <f>'Part VIII-Threshold Criteria'!Q193</f>
        <v>0</v>
      </c>
    </row>
    <row r="1279" spans="1:17">
      <c r="B1279" s="1611"/>
      <c r="C1279" s="1176"/>
      <c r="D1279" s="1176"/>
      <c r="E1279" s="1641" t="s">
        <v>2448</v>
      </c>
      <c r="F1279" s="1176" t="s">
        <v>2739</v>
      </c>
      <c r="G1279" s="1176"/>
      <c r="H1279" s="1176"/>
      <c r="I1279" s="1176"/>
      <c r="J1279" s="1176"/>
      <c r="K1279" s="1176"/>
      <c r="L1279" s="1176"/>
      <c r="M1279" s="1176"/>
      <c r="O1279" s="1641" t="s">
        <v>2448</v>
      </c>
      <c r="P1279" s="1218" t="str">
        <f>'Part VIII-Threshold Criteria'!P194</f>
        <v>Yes</v>
      </c>
      <c r="Q1279" s="1218">
        <f>'Part VIII-Threshold Criteria'!Q194</f>
        <v>0</v>
      </c>
    </row>
    <row r="1280" spans="1:17" ht="12.75" customHeight="1">
      <c r="A1280" s="532"/>
      <c r="B1280" s="1611"/>
      <c r="C1280" s="1176"/>
      <c r="D1280" s="1176"/>
      <c r="E1280" s="236" t="s">
        <v>1606</v>
      </c>
      <c r="F1280" s="1221" t="s">
        <v>2740</v>
      </c>
      <c r="G1280" s="1221"/>
      <c r="H1280" s="1221"/>
      <c r="I1280" s="1221"/>
      <c r="J1280" s="1221"/>
      <c r="K1280" s="1221"/>
      <c r="L1280" s="1221"/>
      <c r="M1280" s="1221"/>
      <c r="N1280" s="1221"/>
      <c r="O1280" s="236" t="s">
        <v>1606</v>
      </c>
      <c r="P1280" s="1218">
        <f>'Part VIII-Threshold Criteria'!P195</f>
        <v>0</v>
      </c>
      <c r="Q1280" s="1218">
        <f>'Part VIII-Threshold Criteria'!Q195</f>
        <v>0</v>
      </c>
    </row>
    <row r="1281" spans="1:17" ht="12.75" customHeight="1">
      <c r="B1281" s="1611" t="s">
        <v>2193</v>
      </c>
      <c r="C1281" s="1221" t="s">
        <v>2741</v>
      </c>
      <c r="D1281" s="1221"/>
      <c r="E1281" s="1221"/>
      <c r="F1281" s="1221"/>
      <c r="G1281" s="1221"/>
      <c r="H1281" s="1221"/>
      <c r="I1281" s="1221"/>
      <c r="J1281" s="1221"/>
      <c r="K1281" s="1221"/>
      <c r="L1281" s="1221"/>
      <c r="M1281" s="1221"/>
      <c r="N1281" s="1221"/>
      <c r="O1281" s="236" t="s">
        <v>2193</v>
      </c>
      <c r="P1281" s="1218" t="str">
        <f>'Part VIII-Threshold Criteria'!P196</f>
        <v>Yes</v>
      </c>
      <c r="Q1281" s="1218">
        <f>'Part VIII-Threshold Criteria'!Q196</f>
        <v>0</v>
      </c>
    </row>
    <row r="1282" spans="1:17">
      <c r="B1282" s="1611" t="s">
        <v>1801</v>
      </c>
      <c r="C1282" s="1176" t="s">
        <v>2464</v>
      </c>
      <c r="D1282" s="1176"/>
      <c r="E1282" s="1176"/>
      <c r="F1282" s="1176"/>
      <c r="G1282" s="1176"/>
      <c r="H1282" s="1176"/>
      <c r="I1282" s="1176"/>
      <c r="J1282" s="1176"/>
      <c r="K1282" s="1176"/>
      <c r="L1282" s="1176"/>
      <c r="M1282" s="1176"/>
      <c r="O1282" s="236" t="s">
        <v>1801</v>
      </c>
      <c r="P1282" s="1218" t="str">
        <f>'Part VIII-Threshold Criteria'!P197</f>
        <v>Yes</v>
      </c>
      <c r="Q1282" s="1218">
        <f>'Part VIII-Threshold Criteria'!Q197</f>
        <v>0</v>
      </c>
    </row>
    <row r="1283" spans="1:17">
      <c r="B1283" s="101" t="s">
        <v>1936</v>
      </c>
      <c r="D1283" s="101"/>
      <c r="E1283" s="101"/>
      <c r="F1283" s="101"/>
      <c r="G1283" s="101"/>
      <c r="H1283" s="1220"/>
      <c r="I1283" s="1407"/>
      <c r="J1283" s="1407"/>
      <c r="K1283" s="1407"/>
      <c r="L1283" s="1219"/>
      <c r="M1283" s="1219"/>
      <c r="N1283" s="1219"/>
      <c r="O1283" s="1219"/>
      <c r="P1283" s="1219"/>
      <c r="Q1283" s="1219"/>
    </row>
    <row r="1284" spans="1:17" ht="123.75">
      <c r="A1284" s="1221" t="str">
        <f>'Part VIII-Threshold Criteria'!A199</f>
        <v>The property is zoned HC-20C SA3. All corresponding documentation is located in Tab 10.</v>
      </c>
      <c r="B1284" s="1221"/>
      <c r="C1284" s="1221"/>
      <c r="D1284" s="1221"/>
      <c r="E1284" s="1221"/>
      <c r="F1284" s="1221"/>
      <c r="G1284" s="1221"/>
      <c r="H1284" s="1221"/>
      <c r="I1284" s="1221"/>
      <c r="J1284" s="1221"/>
      <c r="K1284" s="1221"/>
      <c r="L1284" s="1221"/>
      <c r="M1284" s="1221"/>
      <c r="N1284" s="1221"/>
      <c r="O1284" s="1221"/>
      <c r="P1284" s="1221"/>
      <c r="Q1284" s="1221"/>
    </row>
    <row r="1285" spans="1:17">
      <c r="B1285" s="147" t="s">
        <v>1937</v>
      </c>
      <c r="C1285" s="148"/>
      <c r="D1285" s="1400"/>
      <c r="E1285" s="1400"/>
      <c r="F1285" s="1400"/>
      <c r="G1285" s="1400"/>
      <c r="H1285" s="1400"/>
      <c r="I1285" s="1400"/>
      <c r="J1285" s="1400"/>
      <c r="K1285" s="1400"/>
      <c r="L1285" s="1400"/>
      <c r="M1285" s="1400"/>
      <c r="N1285" s="1400"/>
      <c r="O1285" s="1400"/>
      <c r="P1285" s="1400"/>
    </row>
    <row r="1286" spans="1:17">
      <c r="A1286" s="1221">
        <f>'Part VIII-Threshold Criteria'!A201</f>
        <v>0</v>
      </c>
      <c r="B1286" s="1221"/>
      <c r="C1286" s="1221"/>
      <c r="D1286" s="1221"/>
      <c r="E1286" s="1221"/>
      <c r="F1286" s="1221"/>
      <c r="G1286" s="1221"/>
      <c r="H1286" s="1221"/>
      <c r="I1286" s="1221"/>
      <c r="J1286" s="1221"/>
      <c r="K1286" s="1221"/>
      <c r="L1286" s="1221"/>
      <c r="M1286" s="1221"/>
      <c r="N1286" s="1221"/>
      <c r="O1286" s="1221"/>
      <c r="P1286" s="1221"/>
      <c r="Q1286" s="1221"/>
    </row>
    <row r="1287" spans="1:17">
      <c r="A1287" s="1219"/>
      <c r="B1287" s="1407"/>
      <c r="C1287" s="1400"/>
      <c r="D1287" s="1400"/>
      <c r="E1287" s="1400"/>
      <c r="F1287" s="1400"/>
      <c r="G1287" s="1400"/>
      <c r="H1287" s="1400"/>
      <c r="I1287" s="1400"/>
      <c r="J1287" s="1400"/>
      <c r="K1287" s="1400"/>
      <c r="L1287" s="1400"/>
      <c r="M1287" s="1400"/>
      <c r="N1287" s="1400"/>
      <c r="O1287" s="1400"/>
      <c r="P1287" s="1400"/>
      <c r="Q1287" s="1219"/>
    </row>
    <row r="1288" spans="1:17">
      <c r="A1288" s="2">
        <v>11</v>
      </c>
      <c r="B1288" s="2" t="s">
        <v>2752</v>
      </c>
      <c r="C1288" s="2"/>
      <c r="D1288" s="1400"/>
      <c r="E1288" s="1399"/>
      <c r="F1288" s="1399"/>
      <c r="G1288" s="1400"/>
      <c r="J1288" s="1221"/>
      <c r="K1288" s="1221"/>
      <c r="L1288" s="1221"/>
      <c r="M1288" s="1221"/>
      <c r="N1288" s="1221"/>
      <c r="O1288" s="142" t="s">
        <v>1938</v>
      </c>
      <c r="P1288" s="1159">
        <f>'Part VIII-Threshold Criteria'!P203</f>
        <v>0</v>
      </c>
      <c r="Q1288" s="1159"/>
    </row>
    <row r="1289" spans="1:17" ht="12.75" customHeight="1">
      <c r="A1289" s="196"/>
      <c r="B1289" s="67" t="s">
        <v>2058</v>
      </c>
      <c r="C1289" s="1221" t="s">
        <v>99</v>
      </c>
      <c r="D1289" s="1221"/>
      <c r="E1289" s="1221"/>
      <c r="F1289" s="1221"/>
      <c r="G1289" s="1221"/>
      <c r="H1289" s="69" t="s">
        <v>1803</v>
      </c>
      <c r="I1289" s="54" t="s">
        <v>157</v>
      </c>
      <c r="K1289" s="234" t="str">
        <f>'Part VIII-Threshold Criteria'!K204</f>
        <v>Georgia Natural Gas</v>
      </c>
      <c r="L1289" s="234"/>
      <c r="M1289" s="234"/>
      <c r="N1289" s="234"/>
      <c r="O1289" s="69" t="s">
        <v>1803</v>
      </c>
      <c r="P1289" s="1218" t="str">
        <f>'Part VIII-Threshold Criteria'!P204</f>
        <v>Yes</v>
      </c>
      <c r="Q1289" s="1218">
        <f>'Part VIII-Threshold Criteria'!Q204</f>
        <v>0</v>
      </c>
    </row>
    <row r="1290" spans="1:17">
      <c r="A1290" s="196"/>
      <c r="B1290" s="1407"/>
      <c r="C1290" s="1477"/>
      <c r="D1290" s="1477"/>
      <c r="E1290" s="1477"/>
      <c r="F1290" s="1477"/>
      <c r="H1290" s="69" t="s">
        <v>1804</v>
      </c>
      <c r="I1290" s="54" t="s">
        <v>1653</v>
      </c>
      <c r="K1290" s="234" t="str">
        <f>'Part VIII-Threshold Criteria'!K205</f>
        <v xml:space="preserve">Georgia Power </v>
      </c>
      <c r="L1290" s="234"/>
      <c r="M1290" s="234"/>
      <c r="N1290" s="234"/>
      <c r="O1290" s="69" t="s">
        <v>1804</v>
      </c>
      <c r="P1290" s="1218" t="str">
        <f>'Part VIII-Threshold Criteria'!P205</f>
        <v>Yes</v>
      </c>
      <c r="Q1290" s="1218">
        <f>'Part VIII-Threshold Criteria'!Q205</f>
        <v>0</v>
      </c>
    </row>
    <row r="1291" spans="1:17">
      <c r="B1291" s="101" t="s">
        <v>1936</v>
      </c>
      <c r="D1291" s="101"/>
      <c r="E1291" s="101"/>
      <c r="F1291" s="101"/>
      <c r="G1291" s="101"/>
      <c r="J1291" s="1407"/>
      <c r="K1291" s="1407"/>
      <c r="L1291" s="1219"/>
      <c r="M1291" s="1219"/>
      <c r="N1291" s="1219"/>
      <c r="O1291" s="1219"/>
      <c r="P1291" s="1219"/>
      <c r="Q1291" s="1219"/>
    </row>
    <row r="1292" spans="1:17" ht="123.75">
      <c r="A1292" s="1221" t="str">
        <f>'Part VIII-Threshold Criteria'!A207</f>
        <v>Both gas and electricity are available at the site. The required letters are included in Tab 11.</v>
      </c>
      <c r="B1292" s="1221"/>
      <c r="C1292" s="1221"/>
      <c r="D1292" s="1221"/>
      <c r="E1292" s="1221"/>
      <c r="F1292" s="1221"/>
      <c r="G1292" s="1221"/>
      <c r="H1292" s="1221"/>
      <c r="I1292" s="1221"/>
      <c r="J1292" s="1221"/>
      <c r="K1292" s="1221"/>
      <c r="L1292" s="1221"/>
      <c r="M1292" s="1221"/>
      <c r="N1292" s="1221"/>
      <c r="O1292" s="1221"/>
      <c r="P1292" s="1221"/>
      <c r="Q1292" s="1221"/>
    </row>
    <row r="1293" spans="1:17">
      <c r="B1293" s="147" t="s">
        <v>1937</v>
      </c>
      <c r="C1293" s="148"/>
      <c r="D1293" s="1400"/>
      <c r="E1293" s="1400"/>
      <c r="F1293" s="1400"/>
      <c r="G1293" s="1400"/>
      <c r="H1293" s="1400"/>
      <c r="I1293" s="1400"/>
      <c r="J1293" s="1400"/>
      <c r="K1293" s="1400"/>
      <c r="L1293" s="1400"/>
      <c r="M1293" s="1400"/>
      <c r="N1293" s="1400"/>
      <c r="O1293" s="1400"/>
      <c r="P1293" s="1400"/>
    </row>
    <row r="1294" spans="1:17">
      <c r="A1294" s="1221">
        <f>'Part VIII-Threshold Criteria'!A209</f>
        <v>0</v>
      </c>
      <c r="B1294" s="1221"/>
      <c r="C1294" s="1221"/>
      <c r="D1294" s="1221"/>
      <c r="E1294" s="1221"/>
      <c r="F1294" s="1221"/>
      <c r="G1294" s="1221"/>
      <c r="H1294" s="1221"/>
      <c r="I1294" s="1221"/>
      <c r="J1294" s="1221"/>
      <c r="K1294" s="1221"/>
      <c r="L1294" s="1221"/>
      <c r="M1294" s="1221"/>
      <c r="N1294" s="1221"/>
      <c r="O1294" s="1221"/>
      <c r="P1294" s="1221"/>
      <c r="Q1294" s="1221"/>
    </row>
    <row r="1295" spans="1:17">
      <c r="B1295" s="1407"/>
      <c r="C1295" s="1400"/>
      <c r="D1295" s="1400"/>
      <c r="E1295" s="1400"/>
      <c r="F1295" s="1400"/>
      <c r="G1295" s="1400"/>
      <c r="H1295" s="1400"/>
      <c r="I1295" s="1400"/>
      <c r="J1295" s="1400"/>
      <c r="K1295" s="1400"/>
      <c r="L1295" s="1400"/>
      <c r="M1295" s="1400"/>
      <c r="Q1295" s="1219"/>
    </row>
    <row r="1296" spans="1:17">
      <c r="A1296" s="2">
        <v>12</v>
      </c>
      <c r="B1296" s="10" t="s">
        <v>2753</v>
      </c>
      <c r="C1296" s="10"/>
      <c r="D1296" s="234"/>
      <c r="E1296" s="234"/>
      <c r="F1296" s="234"/>
      <c r="G1296" s="1400"/>
      <c r="H1296" s="1400"/>
      <c r="I1296" s="1400"/>
      <c r="J1296" s="1400"/>
      <c r="K1296" s="1400"/>
      <c r="L1296" s="1400"/>
      <c r="M1296" s="1400"/>
      <c r="O1296" s="142" t="s">
        <v>1938</v>
      </c>
      <c r="P1296" s="1159">
        <f>'Part VIII-Threshold Criteria'!P211</f>
        <v>0</v>
      </c>
      <c r="Q1296" s="1159"/>
    </row>
    <row r="1298" spans="1:17">
      <c r="B1298" s="1611" t="s">
        <v>2058</v>
      </c>
      <c r="C1298" s="600" t="s">
        <v>1803</v>
      </c>
      <c r="D1298" s="61" t="s">
        <v>533</v>
      </c>
      <c r="E1298" s="61"/>
      <c r="F1298" s="61"/>
      <c r="G1298" s="61"/>
      <c r="H1298" s="61"/>
      <c r="I1298" s="61"/>
      <c r="J1298" s="61"/>
      <c r="K1298" s="61"/>
      <c r="L1298" s="61"/>
      <c r="M1298" s="61"/>
      <c r="N1298" s="61"/>
      <c r="O1298" s="236" t="s">
        <v>1543</v>
      </c>
      <c r="P1298" s="1218" t="str">
        <f>'Part VIII-Threshold Criteria'!P213</f>
        <v>No</v>
      </c>
      <c r="Q1298" s="1218">
        <f>'Part VIII-Threshold Criteria'!Q213</f>
        <v>0</v>
      </c>
    </row>
    <row r="1299" spans="1:17">
      <c r="B1299" s="1611"/>
      <c r="C1299" s="600" t="s">
        <v>1804</v>
      </c>
      <c r="D1299" s="61" t="s">
        <v>1523</v>
      </c>
      <c r="E1299" s="61"/>
      <c r="F1299" s="61"/>
      <c r="G1299" s="61"/>
      <c r="H1299" s="61"/>
      <c r="I1299" s="61"/>
      <c r="J1299" s="61"/>
      <c r="K1299" s="61"/>
      <c r="L1299" s="61"/>
      <c r="M1299" s="61"/>
      <c r="N1299" s="61"/>
      <c r="O1299" s="236" t="s">
        <v>1804</v>
      </c>
      <c r="P1299" s="1218">
        <f>'Part VIII-Threshold Criteria'!P214</f>
        <v>0</v>
      </c>
      <c r="Q1299" s="1218">
        <f>'Part VIII-Threshold Criteria'!Q214</f>
        <v>0</v>
      </c>
    </row>
    <row r="1300" spans="1:17" ht="12.75" customHeight="1">
      <c r="A1300" s="196"/>
      <c r="B1300" s="1611" t="s">
        <v>2061</v>
      </c>
      <c r="C1300" s="1221" t="s">
        <v>1919</v>
      </c>
      <c r="D1300" s="1221"/>
      <c r="E1300" s="1221"/>
      <c r="F1300" s="1221"/>
      <c r="G1300" s="1221"/>
      <c r="H1300" s="69" t="s">
        <v>1803</v>
      </c>
      <c r="I1300" s="54" t="s">
        <v>659</v>
      </c>
      <c r="K1300" s="234" t="str">
        <f>'Part VIII-Threshold Criteria'!K215</f>
        <v>City of Atlanta</v>
      </c>
      <c r="L1300" s="234"/>
      <c r="M1300" s="234"/>
      <c r="N1300" s="234"/>
      <c r="O1300" s="69" t="s">
        <v>1502</v>
      </c>
      <c r="P1300" s="1218" t="str">
        <f>'Part VIII-Threshold Criteria'!P215</f>
        <v>Yes</v>
      </c>
      <c r="Q1300" s="1218">
        <f>'Part VIII-Threshold Criteria'!Q215</f>
        <v>0</v>
      </c>
    </row>
    <row r="1301" spans="1:17">
      <c r="A1301" s="196"/>
      <c r="B1301" s="1157"/>
      <c r="C1301" s="1221"/>
      <c r="D1301" s="1221"/>
      <c r="E1301" s="1221"/>
      <c r="F1301" s="1221"/>
      <c r="G1301" s="1221"/>
      <c r="H1301" s="69" t="s">
        <v>1804</v>
      </c>
      <c r="I1301" s="54" t="s">
        <v>118</v>
      </c>
      <c r="K1301" s="234" t="str">
        <f>'Part VIII-Threshold Criteria'!K216</f>
        <v>City of Atlanta</v>
      </c>
      <c r="L1301" s="234"/>
      <c r="M1301" s="234"/>
      <c r="N1301" s="234"/>
      <c r="O1301" s="69" t="s">
        <v>1804</v>
      </c>
      <c r="P1301" s="1218" t="str">
        <f>'Part VIII-Threshold Criteria'!P216</f>
        <v>Yes</v>
      </c>
      <c r="Q1301" s="1218">
        <f>'Part VIII-Threshold Criteria'!Q216</f>
        <v>0</v>
      </c>
    </row>
    <row r="1302" spans="1:17">
      <c r="B1302" s="101" t="s">
        <v>1936</v>
      </c>
      <c r="D1302" s="101"/>
      <c r="E1302" s="101"/>
      <c r="F1302" s="101"/>
      <c r="G1302" s="101"/>
      <c r="H1302" s="1220"/>
      <c r="I1302" s="1407"/>
      <c r="J1302" s="1407"/>
      <c r="K1302" s="1407"/>
      <c r="L1302" s="1219"/>
      <c r="M1302" s="1219"/>
      <c r="N1302" s="1219"/>
      <c r="O1302" s="1219"/>
      <c r="P1302" s="1219"/>
      <c r="Q1302" s="1219"/>
    </row>
    <row r="1303" spans="1:17" ht="157.5">
      <c r="A1303" s="1221" t="str">
        <f>'Part VIII-Threshold Criteria'!A218</f>
        <v>Public water and sewer are available and have the necessary capacity for the project.  The required letters are included in Tab 12.</v>
      </c>
      <c r="B1303" s="1221"/>
      <c r="C1303" s="1221"/>
      <c r="D1303" s="1221"/>
      <c r="E1303" s="1221"/>
      <c r="F1303" s="1221"/>
      <c r="G1303" s="1221"/>
      <c r="H1303" s="1221"/>
      <c r="I1303" s="1221"/>
      <c r="J1303" s="1221"/>
      <c r="K1303" s="1221"/>
      <c r="L1303" s="1221"/>
      <c r="M1303" s="1221"/>
      <c r="N1303" s="1221"/>
      <c r="O1303" s="1221"/>
      <c r="P1303" s="1221"/>
      <c r="Q1303" s="1221"/>
    </row>
    <row r="1304" spans="1:17">
      <c r="B1304" s="147" t="s">
        <v>1937</v>
      </c>
      <c r="C1304" s="148"/>
      <c r="D1304" s="1400"/>
      <c r="E1304" s="1400"/>
      <c r="F1304" s="1400"/>
      <c r="G1304" s="1400"/>
      <c r="H1304" s="1400"/>
      <c r="I1304" s="1400"/>
      <c r="J1304" s="1400"/>
      <c r="K1304" s="1400"/>
      <c r="L1304" s="1400"/>
      <c r="M1304" s="1400"/>
      <c r="N1304" s="1400"/>
      <c r="O1304" s="1400"/>
      <c r="P1304" s="1400"/>
    </row>
    <row r="1305" spans="1:17">
      <c r="A1305" s="1221">
        <f>'Part VIII-Threshold Criteria'!A220</f>
        <v>0</v>
      </c>
      <c r="B1305" s="1221"/>
      <c r="C1305" s="1221"/>
      <c r="D1305" s="1221"/>
      <c r="E1305" s="1221"/>
      <c r="F1305" s="1221"/>
      <c r="G1305" s="1221"/>
      <c r="H1305" s="1221"/>
      <c r="I1305" s="1221"/>
      <c r="J1305" s="1221"/>
      <c r="K1305" s="1221"/>
      <c r="L1305" s="1221"/>
      <c r="M1305" s="1221"/>
      <c r="N1305" s="1221"/>
      <c r="O1305" s="1221"/>
      <c r="P1305" s="1221"/>
      <c r="Q1305" s="1221"/>
    </row>
    <row r="1306" spans="1:17">
      <c r="A1306" s="1219"/>
      <c r="B1306" s="1407"/>
      <c r="C1306" s="1400"/>
      <c r="D1306" s="1400"/>
      <c r="E1306" s="1400"/>
      <c r="F1306" s="1400"/>
      <c r="G1306" s="1400"/>
      <c r="H1306" s="1400"/>
      <c r="I1306" s="1400"/>
      <c r="J1306" s="1400"/>
      <c r="K1306" s="1400"/>
      <c r="L1306" s="1400"/>
      <c r="M1306" s="1400"/>
      <c r="Q1306" s="1219"/>
    </row>
    <row r="1307" spans="1:17">
      <c r="A1307" s="2">
        <v>13</v>
      </c>
      <c r="B1307" s="10" t="s">
        <v>2754</v>
      </c>
      <c r="C1307" s="10"/>
      <c r="D1307" s="234"/>
      <c r="E1307" s="234"/>
      <c r="F1307" s="234"/>
      <c r="G1307" s="234"/>
      <c r="H1307" s="1400"/>
      <c r="I1307" s="1400"/>
      <c r="J1307" s="1400"/>
      <c r="K1307" s="1400"/>
      <c r="L1307" s="1400"/>
      <c r="M1307" s="1400"/>
      <c r="O1307" s="142" t="s">
        <v>1938</v>
      </c>
      <c r="P1307" s="1159">
        <f>'Part VIII-Threshold Criteria'!P222</f>
        <v>0</v>
      </c>
      <c r="Q1307" s="1159"/>
    </row>
    <row r="1308" spans="1:17">
      <c r="B1308" s="467" t="s">
        <v>149</v>
      </c>
    </row>
    <row r="1309" spans="1:17">
      <c r="B1309" s="67" t="s">
        <v>2058</v>
      </c>
      <c r="C1309" s="54" t="s">
        <v>3063</v>
      </c>
      <c r="D1309" s="533"/>
      <c r="E1309" s="54"/>
      <c r="F1309" s="54"/>
      <c r="G1309" s="54"/>
      <c r="H1309" s="54"/>
      <c r="I1309" s="533"/>
      <c r="J1309" s="533"/>
      <c r="K1309" s="533"/>
      <c r="L1309" s="1176"/>
      <c r="M1309" s="1176"/>
      <c r="O1309" s="236" t="s">
        <v>2058</v>
      </c>
      <c r="P1309" s="1218" t="str">
        <f>'Part VIII-Threshold Criteria'!P224</f>
        <v>Yes</v>
      </c>
      <c r="Q1309" s="1218">
        <f>'Part VIII-Threshold Criteria'!Q224</f>
        <v>0</v>
      </c>
    </row>
    <row r="1310" spans="1:17" ht="12.75" customHeight="1">
      <c r="B1310" s="67"/>
      <c r="C1310" s="54"/>
      <c r="D1310" s="54" t="s">
        <v>3048</v>
      </c>
      <c r="E1310" s="54"/>
      <c r="F1310" s="54"/>
      <c r="G1310" s="1647">
        <f>'Part VIII-Threshold Criteria'!G225</f>
        <v>42170</v>
      </c>
      <c r="H1310" s="1647"/>
      <c r="L1310" s="144" t="s">
        <v>3853</v>
      </c>
      <c r="M1310" s="1647">
        <f>'Part VIII-Threshold Criteria'!M225</f>
        <v>42502</v>
      </c>
      <c r="N1310" s="1647"/>
    </row>
    <row r="1311" spans="1:17">
      <c r="B1311" s="67"/>
      <c r="C1311" s="54"/>
      <c r="D1311" s="467" t="s">
        <v>3050</v>
      </c>
      <c r="E1311" s="54"/>
      <c r="F1311" s="54"/>
      <c r="G1311" s="234" t="str">
        <f>'Part VIII-Threshold Criteria'!G226</f>
        <v>City of Atlanta Website</v>
      </c>
      <c r="H1311" s="234"/>
      <c r="I1311" s="234"/>
      <c r="J1311" s="234"/>
      <c r="K1311" s="234"/>
      <c r="L1311" s="144"/>
      <c r="M1311" s="234" t="str">
        <f>'Part VIII-Threshold Criteria'!M226</f>
        <v>Invest Atlanta Website/Fulton County Daily Report</v>
      </c>
      <c r="N1311" s="234"/>
      <c r="O1311" s="234"/>
      <c r="P1311" s="234"/>
      <c r="Q1311" s="234"/>
    </row>
    <row r="1312" spans="1:17">
      <c r="B1312" s="67"/>
      <c r="C1312" s="54"/>
      <c r="D1312" s="54" t="s">
        <v>3049</v>
      </c>
      <c r="E1312" s="533"/>
      <c r="G1312" s="1647">
        <f>'Part VIII-Threshold Criteria'!G227</f>
        <v>42177</v>
      </c>
      <c r="H1312" s="1647"/>
      <c r="I1312" s="54"/>
      <c r="J1312" s="533"/>
      <c r="K1312" s="533"/>
      <c r="L1312" s="144"/>
      <c r="M1312" s="1647">
        <f>'Part VIII-Threshold Criteria'!M227</f>
        <v>42509</v>
      </c>
      <c r="N1312" s="1647"/>
    </row>
    <row r="1313" spans="1:17">
      <c r="B1313" s="67" t="s">
        <v>2061</v>
      </c>
      <c r="C1313" s="54" t="s">
        <v>2929</v>
      </c>
      <c r="D1313" s="54"/>
      <c r="E1313" s="54"/>
      <c r="F1313" s="54"/>
      <c r="G1313" s="54"/>
      <c r="H1313" s="54"/>
      <c r="I1313" s="533"/>
      <c r="J1313" s="533"/>
      <c r="K1313" s="533"/>
      <c r="L1313" s="150"/>
      <c r="M1313" s="150"/>
      <c r="O1313" s="236" t="s">
        <v>2061</v>
      </c>
      <c r="P1313" s="1218" t="str">
        <f>'Part VIII-Threshold Criteria'!P228</f>
        <v>Yes</v>
      </c>
      <c r="Q1313" s="1218">
        <f>'Part VIII-Threshold Criteria'!Q228</f>
        <v>0</v>
      </c>
    </row>
    <row r="1314" spans="1:17">
      <c r="B1314" s="67" t="s">
        <v>779</v>
      </c>
      <c r="C1314" s="54" t="s">
        <v>2930</v>
      </c>
      <c r="D1314" s="54"/>
      <c r="E1314" s="54"/>
      <c r="F1314" s="54"/>
      <c r="G1314" s="54"/>
      <c r="H1314" s="54"/>
      <c r="I1314" s="533"/>
      <c r="J1314" s="533"/>
      <c r="K1314" s="533"/>
      <c r="L1314" s="150"/>
      <c r="M1314" s="150"/>
      <c r="O1314" s="236" t="s">
        <v>779</v>
      </c>
      <c r="P1314" s="1218" t="str">
        <f>'Part VIII-Threshold Criteria'!P229</f>
        <v>Yes</v>
      </c>
      <c r="Q1314" s="1218">
        <f>'Part VIII-Threshold Criteria'!Q229</f>
        <v>0</v>
      </c>
    </row>
    <row r="1315" spans="1:17">
      <c r="B1315" s="67" t="s">
        <v>2193</v>
      </c>
      <c r="C1315" s="54" t="s">
        <v>3735</v>
      </c>
      <c r="D1315" s="54"/>
      <c r="E1315" s="54"/>
      <c r="F1315" s="54"/>
      <c r="G1315" s="54"/>
      <c r="H1315" s="54"/>
      <c r="I1315" s="533"/>
      <c r="J1315" s="533"/>
      <c r="K1315" s="533"/>
      <c r="L1315" s="1176"/>
      <c r="M1315" s="1176"/>
      <c r="O1315" s="69" t="s">
        <v>2193</v>
      </c>
      <c r="P1315" s="1218" t="str">
        <f>'Part VIII-Threshold Criteria'!P230</f>
        <v>No</v>
      </c>
      <c r="Q1315" s="1218">
        <f>'Part VIII-Threshold Criteria'!Q230</f>
        <v>0</v>
      </c>
    </row>
    <row r="1316" spans="1:17">
      <c r="B1316" s="67" t="s">
        <v>1801</v>
      </c>
      <c r="C1316" s="54" t="s">
        <v>150</v>
      </c>
      <c r="D1316" s="54"/>
      <c r="E1316" s="54"/>
      <c r="F1316" s="54"/>
      <c r="G1316" s="54"/>
      <c r="H1316" s="54"/>
      <c r="I1316" s="533"/>
      <c r="J1316" s="533"/>
      <c r="K1316" s="533"/>
      <c r="L1316" s="533"/>
      <c r="M1316" s="533"/>
      <c r="O1316" s="69" t="s">
        <v>1801</v>
      </c>
      <c r="P1316" s="1218" t="str">
        <f>'Part VIII-Threshold Criteria'!P231</f>
        <v>No</v>
      </c>
      <c r="Q1316" s="1218">
        <f>'Part VIII-Threshold Criteria'!Q231</f>
        <v>0</v>
      </c>
    </row>
    <row r="1317" spans="1:17">
      <c r="B1317" s="101" t="s">
        <v>1936</v>
      </c>
      <c r="D1317" s="101"/>
      <c r="E1317" s="101"/>
      <c r="F1317" s="101"/>
      <c r="G1317" s="101"/>
      <c r="H1317" s="1220"/>
      <c r="I1317" s="1407"/>
      <c r="J1317" s="1407"/>
      <c r="K1317" s="1407"/>
      <c r="L1317" s="1219"/>
      <c r="M1317" s="1219"/>
      <c r="N1317" s="1219"/>
      <c r="O1317" s="1219"/>
      <c r="P1317" s="1219"/>
      <c r="Q1317" s="1219"/>
    </row>
    <row r="1318" spans="1:17" ht="78.75">
      <c r="A1318" s="1221" t="str">
        <f>'Part VIII-Threshold Criteria'!A233</f>
        <v>All public meeting documentation has been included in Tab 13.</v>
      </c>
      <c r="B1318" s="1221"/>
      <c r="C1318" s="1221"/>
      <c r="D1318" s="1221"/>
      <c r="E1318" s="1221"/>
      <c r="F1318" s="1221"/>
      <c r="G1318" s="1221"/>
      <c r="H1318" s="1221"/>
      <c r="I1318" s="1221"/>
      <c r="J1318" s="1221"/>
      <c r="K1318" s="1221"/>
      <c r="L1318" s="1221"/>
      <c r="M1318" s="1221"/>
      <c r="N1318" s="1221"/>
      <c r="O1318" s="1221"/>
      <c r="P1318" s="1221"/>
      <c r="Q1318" s="1221"/>
    </row>
    <row r="1320" spans="1:17">
      <c r="B1320" s="147" t="s">
        <v>1937</v>
      </c>
      <c r="C1320" s="148"/>
      <c r="D1320" s="1400"/>
      <c r="E1320" s="1400"/>
      <c r="F1320" s="1400"/>
      <c r="G1320" s="1400"/>
      <c r="H1320" s="1400"/>
      <c r="I1320" s="1400"/>
      <c r="J1320" s="1400"/>
      <c r="K1320" s="1400"/>
      <c r="L1320" s="1400"/>
      <c r="M1320" s="1400"/>
      <c r="N1320" s="1400"/>
      <c r="O1320" s="1400"/>
      <c r="P1320" s="1400"/>
      <c r="Q1320" s="1400"/>
    </row>
    <row r="1321" spans="1:17">
      <c r="A1321" s="1221">
        <f>'Part VIII-Threshold Criteria'!A236</f>
        <v>0</v>
      </c>
      <c r="B1321" s="1221"/>
      <c r="C1321" s="1221"/>
      <c r="D1321" s="1221"/>
      <c r="E1321" s="1221"/>
      <c r="F1321" s="1221"/>
      <c r="G1321" s="1221"/>
      <c r="H1321" s="1221"/>
      <c r="I1321" s="1221"/>
      <c r="J1321" s="1221"/>
      <c r="K1321" s="1221"/>
      <c r="L1321" s="1221"/>
      <c r="M1321" s="1221"/>
      <c r="N1321" s="1221"/>
      <c r="O1321" s="1221"/>
      <c r="P1321" s="1221"/>
      <c r="Q1321" s="1221"/>
    </row>
    <row r="1322" spans="1:17">
      <c r="A1322" s="1219"/>
      <c r="B1322" s="1407"/>
      <c r="C1322" s="1400"/>
      <c r="D1322" s="1400"/>
      <c r="E1322" s="1400"/>
      <c r="F1322" s="1400"/>
      <c r="G1322" s="1400"/>
      <c r="H1322" s="1400"/>
      <c r="I1322" s="1400"/>
      <c r="J1322" s="1400"/>
      <c r="K1322" s="1400"/>
      <c r="L1322" s="1400"/>
      <c r="M1322" s="1400"/>
      <c r="Q1322" s="1219"/>
    </row>
    <row r="1323" spans="1:17">
      <c r="A1323" s="2">
        <v>14</v>
      </c>
      <c r="B1323" s="2" t="s">
        <v>2755</v>
      </c>
      <c r="C1323" s="199"/>
      <c r="D1323" s="1400"/>
      <c r="E1323" s="1400"/>
      <c r="F1323" s="1400"/>
      <c r="G1323" s="1400"/>
      <c r="H1323" s="1400"/>
      <c r="I1323" s="1400"/>
      <c r="J1323" s="1400"/>
      <c r="K1323" s="1400"/>
      <c r="L1323" s="1400"/>
      <c r="M1323" s="1400"/>
      <c r="O1323" s="142" t="s">
        <v>1938</v>
      </c>
      <c r="P1323" s="1159">
        <f>'Part VIII-Threshold Criteria'!P238</f>
        <v>0</v>
      </c>
      <c r="Q1323" s="1159"/>
    </row>
    <row r="1324" spans="1:17">
      <c r="B1324" s="467" t="s">
        <v>1235</v>
      </c>
      <c r="N1324" s="615"/>
      <c r="P1324" s="1218" t="str">
        <f>'Part VIII-Threshold Criteria'!P239</f>
        <v>No</v>
      </c>
      <c r="Q1324" s="1218">
        <f>'Part VIII-Threshold Criteria'!Q239</f>
        <v>0</v>
      </c>
    </row>
    <row r="1325" spans="1:17">
      <c r="B1325" s="67" t="s">
        <v>2058</v>
      </c>
      <c r="C1325" s="54" t="s">
        <v>3063</v>
      </c>
      <c r="D1325" s="533"/>
      <c r="E1325" s="54"/>
      <c r="F1325" s="54"/>
      <c r="G1325" s="54"/>
      <c r="H1325" s="54"/>
      <c r="I1325" s="533"/>
      <c r="J1325" s="533"/>
      <c r="K1325" s="533"/>
      <c r="L1325" s="1176"/>
      <c r="M1325" s="1176"/>
      <c r="O1325" s="236" t="s">
        <v>2058</v>
      </c>
      <c r="P1325" s="1218" t="str">
        <f>'Part VIII-Threshold Criteria'!P240</f>
        <v>Agree</v>
      </c>
      <c r="Q1325" s="1218">
        <f>'Part VIII-Threshold Criteria'!Q240</f>
        <v>0</v>
      </c>
    </row>
    <row r="1326" spans="1:17">
      <c r="B1326" s="67"/>
      <c r="C1326" s="69" t="s">
        <v>1803</v>
      </c>
      <c r="D1326" s="54" t="s">
        <v>2005</v>
      </c>
      <c r="E1326" s="54"/>
      <c r="F1326" s="54"/>
      <c r="G1326" s="54"/>
      <c r="H1326" s="54"/>
      <c r="I1326" s="533"/>
      <c r="K1326" s="69" t="s">
        <v>1543</v>
      </c>
      <c r="L1326" s="234" t="str">
        <f>'Part VIII-Threshold Criteria'!L241</f>
        <v>Room</v>
      </c>
      <c r="M1326" s="234"/>
      <c r="Q1326" s="1218">
        <f>'Part VIII-Threshold Criteria'!Q241</f>
        <v>0</v>
      </c>
    </row>
    <row r="1327" spans="1:17" ht="13.5">
      <c r="B1327" s="67"/>
      <c r="C1327" s="69" t="s">
        <v>1804</v>
      </c>
      <c r="D1327" s="1220" t="s">
        <v>2830</v>
      </c>
      <c r="E1327" s="1220"/>
      <c r="F1327" s="1220"/>
      <c r="G1327" s="1220"/>
      <c r="H1327" s="1220"/>
      <c r="I1327" s="533"/>
      <c r="K1327" s="69" t="s">
        <v>1544</v>
      </c>
      <c r="L1327" s="234" t="str">
        <f>'Part VIII-Threshold Criteria'!L242</f>
        <v>Gazebo</v>
      </c>
      <c r="M1327" s="234"/>
      <c r="N1327" s="1648" t="str">
        <f>'Part VIII-Threshold Criteria'!N242</f>
        <v>If "Other", explain here</v>
      </c>
      <c r="O1327" s="1648"/>
      <c r="P1327" s="1648"/>
      <c r="Q1327" s="1218">
        <f>'Part VIII-Threshold Criteria'!Q242</f>
        <v>0</v>
      </c>
    </row>
    <row r="1328" spans="1:17">
      <c r="B1328" s="67"/>
      <c r="C1328" s="69" t="s">
        <v>1805</v>
      </c>
      <c r="D1328" s="1220" t="s">
        <v>577</v>
      </c>
      <c r="E1328" s="1220"/>
      <c r="F1328" s="1220"/>
      <c r="G1328" s="1220"/>
      <c r="H1328" s="1220"/>
      <c r="I1328" s="533"/>
      <c r="K1328" s="69" t="s">
        <v>1545</v>
      </c>
      <c r="L1328" s="234" t="str">
        <f>'Part VIII-Threshold Criteria'!L243</f>
        <v>On-site laundry</v>
      </c>
      <c r="M1328" s="234"/>
      <c r="N1328" s="234"/>
      <c r="Q1328" s="1218">
        <f>'Part VIII-Threshold Criteria'!Q243</f>
        <v>0</v>
      </c>
    </row>
    <row r="1329" spans="1:17">
      <c r="B1329" s="67"/>
      <c r="C1329" s="69"/>
      <c r="D1329" s="54"/>
      <c r="E1329" s="54"/>
      <c r="F1329" s="54"/>
      <c r="G1329" s="54"/>
      <c r="H1329" s="54"/>
      <c r="I1329" s="533"/>
      <c r="J1329" s="533"/>
      <c r="K1329" s="533"/>
      <c r="L1329" s="533"/>
      <c r="M1329" s="533"/>
    </row>
    <row r="1330" spans="1:17">
      <c r="B1330" s="67" t="s">
        <v>2061</v>
      </c>
      <c r="C1330" s="54" t="s">
        <v>2596</v>
      </c>
      <c r="D1330" s="54"/>
      <c r="E1330" s="54"/>
      <c r="F1330" s="54"/>
      <c r="G1330" s="54"/>
      <c r="H1330" s="54"/>
      <c r="I1330" s="54"/>
      <c r="J1330" s="54"/>
      <c r="K1330" s="533"/>
      <c r="L1330" s="533"/>
      <c r="M1330" s="533"/>
      <c r="N1330" s="533"/>
      <c r="O1330" s="69" t="s">
        <v>2061</v>
      </c>
      <c r="P1330" s="1218" t="str">
        <f>'Part VIII-Threshold Criteria'!P245</f>
        <v>Agree</v>
      </c>
      <c r="Q1330" s="1218">
        <f>'Part VIII-Threshold Criteria'!Q245</f>
        <v>0</v>
      </c>
    </row>
    <row r="1331" spans="1:17">
      <c r="B1331" s="67"/>
      <c r="C1331" s="54" t="s">
        <v>3890</v>
      </c>
      <c r="D1331" s="54"/>
      <c r="E1331" s="54"/>
      <c r="F1331" s="54"/>
      <c r="G1331" s="54"/>
      <c r="H1331" s="54"/>
      <c r="I1331" s="54"/>
      <c r="J1331" s="54"/>
      <c r="K1331" s="533"/>
      <c r="L1331" s="533"/>
      <c r="M1331" s="533"/>
      <c r="N1331" s="533"/>
      <c r="O1331" s="533"/>
      <c r="P1331" s="61" t="s">
        <v>3</v>
      </c>
      <c r="Q1331" s="61"/>
    </row>
    <row r="1332" spans="1:17">
      <c r="B1332" s="67"/>
      <c r="D1332" s="54" t="s">
        <v>2</v>
      </c>
      <c r="E1332" s="54"/>
      <c r="F1332" s="54"/>
      <c r="G1332" s="54"/>
      <c r="I1332" s="326" t="s">
        <v>804</v>
      </c>
      <c r="J1332" s="573" t="s">
        <v>805</v>
      </c>
      <c r="L1332" s="54" t="s">
        <v>2832</v>
      </c>
      <c r="M1332" s="533"/>
      <c r="N1332" s="533"/>
      <c r="O1332" s="326"/>
      <c r="P1332" s="328" t="s">
        <v>804</v>
      </c>
      <c r="Q1332" s="573" t="s">
        <v>805</v>
      </c>
    </row>
    <row r="1333" spans="1:17" ht="33.75">
      <c r="A1333" s="533"/>
      <c r="B1333" s="1218"/>
      <c r="C1333" s="69" t="s">
        <v>1803</v>
      </c>
      <c r="D1333" s="1221" t="str">
        <f>'Part VIII-Threshold Criteria'!D248</f>
        <v>Equipped Computer Room</v>
      </c>
      <c r="E1333" s="1221"/>
      <c r="F1333" s="1221"/>
      <c r="G1333" s="1221"/>
      <c r="H1333" s="1221"/>
      <c r="I1333" s="1218">
        <f>'Part VIII-Threshold Criteria'!I248</f>
        <v>0</v>
      </c>
      <c r="J1333" s="1218">
        <f>'Part VIII-Threshold Criteria'!J248</f>
        <v>0</v>
      </c>
      <c r="K1333" s="69" t="s">
        <v>1805</v>
      </c>
      <c r="L1333" s="1221" t="str">
        <f>'Part VIII-Threshold Criteria'!L248</f>
        <v>Equipped Arts and Crafts Room</v>
      </c>
      <c r="M1333" s="1221"/>
      <c r="N1333" s="1221"/>
      <c r="O1333" s="1221"/>
      <c r="P1333" s="1218">
        <f>'Part VIII-Threshold Criteria'!P248</f>
        <v>0</v>
      </c>
      <c r="Q1333" s="1218">
        <f>'Part VIII-Threshold Criteria'!Q248</f>
        <v>0</v>
      </c>
    </row>
    <row r="1334" spans="1:17" ht="33.75">
      <c r="A1334" s="533"/>
      <c r="B1334" s="1218"/>
      <c r="C1334" s="69" t="s">
        <v>1804</v>
      </c>
      <c r="D1334" s="1221" t="str">
        <f>'Part VIII-Threshold Criteria'!D249</f>
        <v>Equipped Fitness Center</v>
      </c>
      <c r="E1334" s="1221"/>
      <c r="F1334" s="1221"/>
      <c r="G1334" s="1221"/>
      <c r="H1334" s="1221"/>
      <c r="I1334" s="1218">
        <f>'Part VIII-Threshold Criteria'!I249</f>
        <v>0</v>
      </c>
      <c r="J1334" s="1218">
        <f>'Part VIII-Threshold Criteria'!J249</f>
        <v>0</v>
      </c>
      <c r="K1334" s="69" t="s">
        <v>2448</v>
      </c>
      <c r="L1334" s="1221" t="str">
        <f>'Part VIII-Threshold Criteria'!L249</f>
        <v>Covered Porch</v>
      </c>
      <c r="M1334" s="1221"/>
      <c r="N1334" s="1221"/>
      <c r="O1334" s="1221"/>
      <c r="P1334" s="1218">
        <f>'Part VIII-Threshold Criteria'!P249</f>
        <v>0</v>
      </c>
      <c r="Q1334" s="1218">
        <f>'Part VIII-Threshold Criteria'!Q249</f>
        <v>0</v>
      </c>
    </row>
    <row r="1335" spans="1:17">
      <c r="B1335" s="54"/>
      <c r="C1335" s="533"/>
      <c r="D1335" s="533"/>
      <c r="E1335" s="533"/>
      <c r="F1335" s="533"/>
      <c r="G1335" s="533"/>
      <c r="H1335" s="533"/>
      <c r="I1335" s="533"/>
      <c r="J1335" s="533"/>
      <c r="K1335" s="533"/>
      <c r="L1335" s="533"/>
      <c r="M1335" s="533"/>
      <c r="N1335" s="533"/>
      <c r="O1335" s="533"/>
      <c r="P1335" s="533"/>
      <c r="Q1335" s="533"/>
    </row>
    <row r="1336" spans="1:17">
      <c r="B1336" s="67" t="s">
        <v>779</v>
      </c>
      <c r="C1336" s="54" t="s">
        <v>1431</v>
      </c>
      <c r="D1336" s="54"/>
      <c r="E1336" s="54"/>
      <c r="F1336" s="54"/>
      <c r="G1336" s="54"/>
      <c r="H1336" s="54"/>
      <c r="I1336" s="54"/>
      <c r="J1336" s="54"/>
      <c r="K1336" s="533"/>
      <c r="L1336" s="54"/>
      <c r="M1336" s="54"/>
      <c r="O1336" s="69" t="s">
        <v>779</v>
      </c>
      <c r="P1336" s="1218" t="str">
        <f>'Part VIII-Threshold Criteria'!P251</f>
        <v>Agree</v>
      </c>
      <c r="Q1336" s="1218">
        <f>'Part VIII-Threshold Criteria'!Q251</f>
        <v>0</v>
      </c>
    </row>
    <row r="1337" spans="1:17">
      <c r="B1337" s="67"/>
      <c r="C1337" s="69" t="s">
        <v>1803</v>
      </c>
      <c r="D1337" s="54" t="s">
        <v>3724</v>
      </c>
      <c r="E1337" s="54"/>
      <c r="F1337" s="54"/>
      <c r="G1337" s="54"/>
      <c r="H1337" s="54"/>
      <c r="I1337" s="533"/>
      <c r="J1337" s="533"/>
      <c r="K1337" s="533"/>
      <c r="L1337" s="533"/>
      <c r="M1337" s="533"/>
      <c r="O1337" s="69" t="s">
        <v>1803</v>
      </c>
      <c r="P1337" s="1218" t="str">
        <f>'Part VIII-Threshold Criteria'!P252</f>
        <v>Yes</v>
      </c>
      <c r="Q1337" s="1218">
        <f>'Part VIII-Threshold Criteria'!Q252</f>
        <v>0</v>
      </c>
    </row>
    <row r="1338" spans="1:17">
      <c r="C1338" s="69" t="s">
        <v>1804</v>
      </c>
      <c r="D1338" s="1220" t="s">
        <v>2931</v>
      </c>
      <c r="E1338" s="1220"/>
      <c r="F1338" s="1220"/>
      <c r="G1338" s="1220"/>
      <c r="H1338" s="1220"/>
      <c r="I1338" s="533"/>
      <c r="J1338" s="533"/>
      <c r="K1338" s="533"/>
      <c r="L1338" s="533"/>
      <c r="M1338" s="533"/>
      <c r="O1338" s="69" t="s">
        <v>1804</v>
      </c>
      <c r="P1338" s="1218" t="str">
        <f>'Part VIII-Threshold Criteria'!P253</f>
        <v>Yes</v>
      </c>
      <c r="Q1338" s="1218">
        <f>'Part VIII-Threshold Criteria'!Q253</f>
        <v>0</v>
      </c>
    </row>
    <row r="1339" spans="1:17">
      <c r="C1339" s="69" t="s">
        <v>1805</v>
      </c>
      <c r="D1339" s="1220" t="s">
        <v>2932</v>
      </c>
      <c r="E1339" s="1220"/>
      <c r="F1339" s="1220"/>
      <c r="G1339" s="1220"/>
      <c r="H1339" s="1220"/>
      <c r="I1339" s="533"/>
      <c r="J1339" s="533"/>
      <c r="K1339" s="533"/>
      <c r="L1339" s="533"/>
      <c r="M1339" s="533"/>
      <c r="O1339" s="69" t="s">
        <v>1805</v>
      </c>
      <c r="P1339" s="1218" t="str">
        <f>'Part VIII-Threshold Criteria'!P254</f>
        <v>Yes</v>
      </c>
      <c r="Q1339" s="1218">
        <f>'Part VIII-Threshold Criteria'!Q254</f>
        <v>0</v>
      </c>
    </row>
    <row r="1340" spans="1:17">
      <c r="B1340" s="67"/>
      <c r="C1340" s="69" t="s">
        <v>2448</v>
      </c>
      <c r="D1340" s="1220" t="s">
        <v>2933</v>
      </c>
      <c r="E1340" s="1220"/>
      <c r="F1340" s="1220"/>
      <c r="G1340" s="1220"/>
      <c r="H1340" s="1220"/>
      <c r="I1340" s="533"/>
      <c r="J1340" s="533"/>
      <c r="K1340" s="533"/>
      <c r="L1340" s="533"/>
      <c r="M1340" s="533"/>
      <c r="O1340" s="69" t="s">
        <v>2448</v>
      </c>
      <c r="P1340" s="1218" t="str">
        <f>'Part VIII-Threshold Criteria'!P255</f>
        <v>Yes</v>
      </c>
      <c r="Q1340" s="1218">
        <f>'Part VIII-Threshold Criteria'!Q255</f>
        <v>0</v>
      </c>
    </row>
    <row r="1341" spans="1:17">
      <c r="B1341" s="67"/>
      <c r="C1341" s="69" t="s">
        <v>1606</v>
      </c>
      <c r="D1341" s="1220" t="s">
        <v>2934</v>
      </c>
      <c r="E1341" s="1220"/>
      <c r="F1341" s="1220"/>
      <c r="G1341" s="1220"/>
      <c r="H1341" s="1220"/>
      <c r="I1341" s="533"/>
      <c r="J1341" s="533"/>
      <c r="K1341" s="533"/>
      <c r="L1341" s="533"/>
      <c r="M1341" s="533"/>
      <c r="O1341" s="69" t="s">
        <v>1606</v>
      </c>
      <c r="P1341" s="1218" t="str">
        <f>'Part VIII-Threshold Criteria'!P256</f>
        <v>Yes</v>
      </c>
      <c r="Q1341" s="1218">
        <f>'Part VIII-Threshold Criteria'!Q256</f>
        <v>0</v>
      </c>
    </row>
    <row r="1342" spans="1:17">
      <c r="B1342" s="67"/>
      <c r="C1342" s="69" t="s">
        <v>1607</v>
      </c>
      <c r="D1342" s="54" t="s">
        <v>806</v>
      </c>
      <c r="E1342" s="54"/>
      <c r="F1342" s="54"/>
      <c r="G1342" s="54"/>
      <c r="H1342" s="54"/>
      <c r="I1342" s="533"/>
      <c r="J1342" s="533"/>
      <c r="K1342" s="533"/>
      <c r="L1342" s="533"/>
      <c r="M1342" s="533"/>
      <c r="O1342" s="69" t="s">
        <v>2919</v>
      </c>
      <c r="P1342" s="1218" t="str">
        <f>'Part VIII-Threshold Criteria'!P257</f>
        <v>Yes</v>
      </c>
      <c r="Q1342" s="1218">
        <f>'Part VIII-Threshold Criteria'!Q257</f>
        <v>0</v>
      </c>
    </row>
    <row r="1343" spans="1:17">
      <c r="B1343" s="67"/>
      <c r="C1343" s="69"/>
      <c r="D1343" s="54" t="s">
        <v>1546</v>
      </c>
      <c r="E1343" s="54"/>
      <c r="F1343" s="54"/>
      <c r="G1343" s="54"/>
      <c r="H1343" s="54"/>
      <c r="I1343" s="533"/>
      <c r="J1343" s="533"/>
      <c r="K1343" s="533"/>
      <c r="L1343" s="533"/>
      <c r="M1343" s="533"/>
      <c r="O1343" s="69" t="s">
        <v>2920</v>
      </c>
      <c r="P1343" s="1218">
        <f>'Part VIII-Threshold Criteria'!P258</f>
        <v>0</v>
      </c>
      <c r="Q1343" s="1218">
        <f>'Part VIII-Threshold Criteria'!Q258</f>
        <v>0</v>
      </c>
    </row>
    <row r="1344" spans="1:17">
      <c r="B1344" s="67"/>
      <c r="C1344" s="69"/>
      <c r="D1344" s="54"/>
      <c r="E1344" s="54"/>
      <c r="F1344" s="54"/>
      <c r="G1344" s="54"/>
      <c r="H1344" s="54"/>
      <c r="I1344" s="533"/>
      <c r="J1344" s="533"/>
      <c r="K1344" s="533"/>
      <c r="L1344" s="533"/>
      <c r="M1344" s="533"/>
    </row>
    <row r="1345" spans="1:17">
      <c r="B1345" s="67" t="s">
        <v>2193</v>
      </c>
      <c r="C1345" s="54" t="s">
        <v>4102</v>
      </c>
      <c r="D1345" s="54"/>
      <c r="E1345" s="54"/>
      <c r="F1345" s="54"/>
      <c r="G1345" s="54"/>
      <c r="H1345" s="54"/>
      <c r="I1345" s="54"/>
      <c r="J1345" s="54"/>
      <c r="K1345" s="533"/>
      <c r="L1345" s="54"/>
      <c r="M1345" s="54"/>
      <c r="O1345" s="69" t="s">
        <v>2193</v>
      </c>
      <c r="P1345" s="1218" t="str">
        <f>'Part VIII-Threshold Criteria'!P260</f>
        <v>Agree</v>
      </c>
      <c r="Q1345" s="1218">
        <f>'Part VIII-Threshold Criteria'!Q260</f>
        <v>0</v>
      </c>
    </row>
    <row r="1346" spans="1:17">
      <c r="B1346" s="67"/>
      <c r="C1346" s="69" t="s">
        <v>1803</v>
      </c>
      <c r="D1346" s="54" t="s">
        <v>1302</v>
      </c>
      <c r="E1346" s="533"/>
      <c r="F1346" s="533"/>
      <c r="G1346" s="54"/>
      <c r="H1346" s="1220"/>
      <c r="I1346" s="533"/>
      <c r="J1346" s="1220"/>
      <c r="K1346" s="533"/>
      <c r="L1346" s="1220"/>
      <c r="M1346" s="1220"/>
      <c r="O1346" s="69" t="s">
        <v>1803</v>
      </c>
      <c r="P1346" s="1218" t="str">
        <f>'Part VIII-Threshold Criteria'!P261</f>
        <v>Yes</v>
      </c>
      <c r="Q1346" s="1218">
        <f>'Part VIII-Threshold Criteria'!Q261</f>
        <v>0</v>
      </c>
    </row>
    <row r="1347" spans="1:17">
      <c r="B1347" s="67"/>
      <c r="C1347" s="69" t="s">
        <v>1804</v>
      </c>
      <c r="D1347" s="54" t="s">
        <v>151</v>
      </c>
      <c r="E1347" s="533"/>
      <c r="F1347" s="533"/>
      <c r="G1347" s="1220"/>
      <c r="H1347" s="1220"/>
      <c r="I1347" s="533"/>
      <c r="J1347" s="1220"/>
      <c r="K1347" s="533"/>
      <c r="L1347" s="1220"/>
      <c r="M1347" s="1220"/>
      <c r="O1347" s="69" t="s">
        <v>1804</v>
      </c>
      <c r="P1347" s="1218" t="str">
        <f>'Part VIII-Threshold Criteria'!P262</f>
        <v>Yes</v>
      </c>
      <c r="Q1347" s="1218">
        <f>'Part VIII-Threshold Criteria'!Q262</f>
        <v>0</v>
      </c>
    </row>
    <row r="1348" spans="1:17">
      <c r="B1348" s="67"/>
      <c r="C1348" s="69" t="s">
        <v>1805</v>
      </c>
      <c r="D1348" s="1220" t="s">
        <v>4057</v>
      </c>
      <c r="E1348" s="533"/>
      <c r="F1348" s="533"/>
      <c r="G1348" s="1220"/>
      <c r="H1348" s="1220"/>
      <c r="I1348" s="533"/>
      <c r="J1348" s="1220"/>
      <c r="K1348" s="533"/>
      <c r="L1348" s="1220"/>
      <c r="M1348" s="1220"/>
      <c r="O1348" s="69" t="s">
        <v>2454</v>
      </c>
      <c r="P1348" s="1218" t="str">
        <f>'Part VIII-Threshold Criteria'!P263</f>
        <v>Yes</v>
      </c>
      <c r="Q1348" s="1218">
        <f>'Part VIII-Threshold Criteria'!Q263</f>
        <v>0</v>
      </c>
    </row>
    <row r="1349" spans="1:17">
      <c r="B1349" s="54"/>
      <c r="C1349" s="533"/>
      <c r="D1349" s="1220" t="s">
        <v>1334</v>
      </c>
      <c r="E1349" s="533"/>
      <c r="F1349" s="533"/>
      <c r="G1349" s="1220"/>
      <c r="H1349" s="1220"/>
      <c r="I1349" s="533"/>
      <c r="J1349" s="1220"/>
      <c r="K1349" s="533"/>
      <c r="L1349" s="1220"/>
      <c r="M1349" s="1220"/>
      <c r="O1349" s="69" t="s">
        <v>2455</v>
      </c>
      <c r="P1349" s="1218">
        <f>'Part VIII-Threshold Criteria'!P264</f>
        <v>0</v>
      </c>
      <c r="Q1349" s="1218">
        <f>'Part VIII-Threshold Criteria'!Q264</f>
        <v>0</v>
      </c>
    </row>
    <row r="1350" spans="1:17">
      <c r="B1350" s="101" t="s">
        <v>1936</v>
      </c>
      <c r="D1350" s="101"/>
      <c r="E1350" s="101"/>
      <c r="F1350" s="101"/>
      <c r="G1350" s="101"/>
      <c r="H1350" s="1220"/>
      <c r="I1350" s="1407"/>
      <c r="J1350" s="1407"/>
      <c r="K1350" s="1407"/>
      <c r="L1350" s="1219"/>
      <c r="M1350" s="1219"/>
      <c r="N1350" s="1219"/>
      <c r="O1350" s="1219"/>
      <c r="P1350" s="1219"/>
      <c r="Q1350" s="1219"/>
    </row>
    <row r="1351" spans="1:17" ht="78.75">
      <c r="A1351" s="1221" t="str">
        <f>'Part VIII-Threshold Criteria'!A266</f>
        <v>The applicant agrees to meet DCA's minimum amenity standards.</v>
      </c>
      <c r="B1351" s="1221"/>
      <c r="C1351" s="1221"/>
      <c r="D1351" s="1221"/>
      <c r="E1351" s="1221"/>
      <c r="F1351" s="1221"/>
      <c r="G1351" s="1221"/>
      <c r="H1351" s="1221"/>
      <c r="I1351" s="1221"/>
      <c r="J1351" s="1221"/>
      <c r="K1351" s="1221"/>
      <c r="L1351" s="1221"/>
      <c r="M1351" s="1221"/>
      <c r="N1351" s="1221"/>
      <c r="O1351" s="1221"/>
      <c r="P1351" s="1221"/>
      <c r="Q1351" s="1221"/>
    </row>
    <row r="1352" spans="1:17">
      <c r="B1352" s="147" t="s">
        <v>1937</v>
      </c>
      <c r="C1352" s="148"/>
      <c r="D1352" s="1400"/>
      <c r="E1352" s="1400"/>
      <c r="F1352" s="1400"/>
      <c r="G1352" s="1400"/>
      <c r="H1352" s="1400"/>
      <c r="I1352" s="1400"/>
      <c r="J1352" s="1400"/>
      <c r="K1352" s="1400"/>
      <c r="L1352" s="1400"/>
      <c r="M1352" s="1400"/>
      <c r="N1352" s="1400"/>
      <c r="O1352" s="1400"/>
      <c r="P1352" s="1400"/>
    </row>
    <row r="1353" spans="1:17">
      <c r="A1353" s="1221">
        <f>'Part VIII-Threshold Criteria'!A268</f>
        <v>0</v>
      </c>
      <c r="B1353" s="1221"/>
      <c r="C1353" s="1221"/>
      <c r="D1353" s="1221"/>
      <c r="E1353" s="1221"/>
      <c r="F1353" s="1221"/>
      <c r="G1353" s="1221"/>
      <c r="H1353" s="1221"/>
      <c r="I1353" s="1221"/>
      <c r="J1353" s="1221"/>
      <c r="K1353" s="1221"/>
      <c r="L1353" s="1221"/>
      <c r="M1353" s="1221"/>
      <c r="N1353" s="1221"/>
      <c r="O1353" s="1221"/>
      <c r="P1353" s="1221"/>
      <c r="Q1353" s="1221"/>
    </row>
    <row r="1354" spans="1:17">
      <c r="A1354" s="1219"/>
      <c r="B1354" s="1407"/>
      <c r="C1354" s="1400"/>
      <c r="D1354" s="1400"/>
      <c r="E1354" s="1400"/>
      <c r="F1354" s="1400"/>
      <c r="G1354" s="1400"/>
      <c r="H1354" s="1400"/>
      <c r="I1354" s="1400"/>
      <c r="J1354" s="1400"/>
      <c r="K1354" s="1400"/>
      <c r="L1354" s="1400"/>
      <c r="M1354" s="1400"/>
      <c r="Q1354" s="1219"/>
    </row>
    <row r="1355" spans="1:17">
      <c r="A1355" s="2">
        <v>15</v>
      </c>
      <c r="B1355" s="10" t="s">
        <v>2756</v>
      </c>
      <c r="C1355" s="10"/>
      <c r="D1355" s="234"/>
      <c r="E1355" s="234"/>
      <c r="F1355" s="234"/>
      <c r="G1355" s="234"/>
      <c r="H1355" s="1400"/>
      <c r="I1355" s="1400"/>
      <c r="J1355" s="1400"/>
      <c r="K1355" s="1400"/>
      <c r="L1355" s="1400"/>
      <c r="M1355" s="1400"/>
      <c r="O1355" s="142" t="s">
        <v>1938</v>
      </c>
      <c r="P1355" s="1159">
        <f>'Part VIII-Threshold Criteria'!P270</f>
        <v>0</v>
      </c>
      <c r="Q1355" s="1159"/>
    </row>
    <row r="1357" spans="1:17">
      <c r="B1357" s="67" t="s">
        <v>2058</v>
      </c>
      <c r="C1357" s="54" t="s">
        <v>1315</v>
      </c>
      <c r="D1357" s="533"/>
      <c r="E1357" s="54"/>
      <c r="F1357" s="54"/>
      <c r="G1357" s="54"/>
      <c r="H1357" s="54"/>
      <c r="I1357" s="533"/>
      <c r="J1357" s="533"/>
      <c r="K1357" s="69" t="s">
        <v>2058</v>
      </c>
      <c r="L1357" s="234" t="str">
        <f>'Part VIII-Threshold Criteria'!L272</f>
        <v>Substantial Gut Rehab</v>
      </c>
      <c r="M1357" s="234"/>
      <c r="N1357" s="234"/>
      <c r="O1357" s="234"/>
      <c r="P1357" s="234" t="str">
        <f>'Part VIII-Threshold Criteria'!P272</f>
        <v>&lt;&lt;Select&gt;&gt;</v>
      </c>
      <c r="Q1357" s="234"/>
    </row>
    <row r="1358" spans="1:17">
      <c r="B1358" s="67" t="s">
        <v>2061</v>
      </c>
      <c r="C1358" s="54" t="s">
        <v>2935</v>
      </c>
      <c r="D1358" s="54"/>
      <c r="E1358" s="54"/>
      <c r="F1358" s="54"/>
      <c r="G1358" s="54"/>
      <c r="H1358" s="54"/>
      <c r="I1358" s="533"/>
      <c r="J1358" s="533"/>
      <c r="K1358" s="69" t="s">
        <v>2061</v>
      </c>
      <c r="L1358" s="1649">
        <f>'Part VIII-Threshold Criteria'!L273</f>
        <v>42743</v>
      </c>
      <c r="M1358" s="1649"/>
      <c r="N1358" s="1649"/>
      <c r="O1358" s="1649"/>
      <c r="P1358" s="1649">
        <f>'Part VIII-Threshold Criteria'!P273</f>
        <v>0</v>
      </c>
      <c r="Q1358" s="1649"/>
    </row>
    <row r="1359" spans="1:17">
      <c r="B1359" s="67" t="s">
        <v>779</v>
      </c>
      <c r="C1359" s="54" t="s">
        <v>2019</v>
      </c>
      <c r="D1359" s="54"/>
      <c r="E1359" s="54"/>
      <c r="F1359" s="54"/>
      <c r="G1359" s="54"/>
      <c r="H1359" s="54"/>
      <c r="I1359" s="533"/>
      <c r="J1359" s="533"/>
      <c r="K1359" s="69" t="s">
        <v>779</v>
      </c>
      <c r="L1359" s="234" t="str">
        <f>'Part VIII-Threshold Criteria'!L274</f>
        <v>Newbanks</v>
      </c>
      <c r="M1359" s="234"/>
      <c r="N1359" s="234"/>
      <c r="O1359" s="234"/>
      <c r="P1359" s="234">
        <f>'Part VIII-Threshold Criteria'!P274</f>
        <v>0</v>
      </c>
      <c r="Q1359" s="234"/>
    </row>
    <row r="1360" spans="1:17">
      <c r="B1360" s="67" t="s">
        <v>2193</v>
      </c>
      <c r="C1360" s="54" t="s">
        <v>2631</v>
      </c>
      <c r="D1360" s="54"/>
      <c r="E1360" s="54"/>
      <c r="F1360" s="54"/>
      <c r="G1360" s="54"/>
      <c r="H1360" s="54"/>
      <c r="I1360" s="533"/>
      <c r="J1360" s="533"/>
      <c r="K1360" s="533"/>
      <c r="L1360" s="533"/>
      <c r="M1360" s="533"/>
      <c r="O1360" s="69" t="s">
        <v>2193</v>
      </c>
      <c r="P1360" s="1218" t="str">
        <f>'Part VIII-Threshold Criteria'!P275</f>
        <v>Yes</v>
      </c>
      <c r="Q1360" s="1218">
        <f>'Part VIII-Threshold Criteria'!Q275</f>
        <v>0</v>
      </c>
    </row>
    <row r="1361" spans="1:17" ht="12.75" customHeight="1">
      <c r="B1361" s="1611" t="s">
        <v>1801</v>
      </c>
      <c r="C1361" s="1221" t="s">
        <v>2858</v>
      </c>
      <c r="D1361" s="1221"/>
      <c r="E1361" s="1221"/>
      <c r="F1361" s="1221"/>
      <c r="G1361" s="1221"/>
      <c r="H1361" s="1221"/>
      <c r="I1361" s="1221"/>
      <c r="J1361" s="1221"/>
      <c r="K1361" s="1221"/>
      <c r="L1361" s="1221"/>
      <c r="M1361" s="1221"/>
      <c r="N1361" s="1221"/>
      <c r="O1361" s="236" t="s">
        <v>1801</v>
      </c>
      <c r="P1361" s="1218" t="str">
        <f>'Part VIII-Threshold Criteria'!P276</f>
        <v>Agree</v>
      </c>
      <c r="Q1361" s="1218">
        <f>'Part VIII-Threshold Criteria'!Q276</f>
        <v>0</v>
      </c>
    </row>
    <row r="1362" spans="1:17">
      <c r="B1362" s="101" t="s">
        <v>1936</v>
      </c>
      <c r="D1362" s="101"/>
      <c r="E1362" s="101"/>
      <c r="F1362" s="101"/>
      <c r="G1362" s="101"/>
      <c r="H1362" s="1220"/>
      <c r="I1362" s="1407"/>
      <c r="J1362" s="1407"/>
      <c r="K1362" s="1407"/>
      <c r="L1362" s="1219"/>
      <c r="M1362" s="1219"/>
      <c r="N1362" s="1219"/>
      <c r="O1362" s="1219"/>
      <c r="P1362" s="1219"/>
      <c r="Q1362" s="1219"/>
    </row>
    <row r="1363" spans="1:17" ht="78.75">
      <c r="A1363" s="1221" t="str">
        <f>'Part VIII-Threshold Criteria'!A278</f>
        <v>PNA and detailed rehab scope/budget are included in Tab 15.</v>
      </c>
      <c r="B1363" s="1221"/>
      <c r="C1363" s="1221"/>
      <c r="D1363" s="1221"/>
      <c r="E1363" s="1221"/>
      <c r="F1363" s="1221"/>
      <c r="G1363" s="1221"/>
      <c r="H1363" s="1221"/>
      <c r="I1363" s="1221"/>
      <c r="J1363" s="1221"/>
      <c r="K1363" s="1221"/>
      <c r="L1363" s="1221"/>
      <c r="M1363" s="1221"/>
      <c r="N1363" s="1221"/>
      <c r="O1363" s="1221"/>
      <c r="P1363" s="1221"/>
      <c r="Q1363" s="1221"/>
    </row>
    <row r="1364" spans="1:17">
      <c r="B1364" s="147" t="s">
        <v>1937</v>
      </c>
      <c r="C1364" s="148"/>
      <c r="D1364" s="1400"/>
      <c r="E1364" s="1400"/>
      <c r="F1364" s="1400"/>
      <c r="G1364" s="1400"/>
      <c r="H1364" s="1400"/>
      <c r="I1364" s="1400"/>
      <c r="J1364" s="1400"/>
      <c r="K1364" s="1400"/>
      <c r="L1364" s="1400"/>
      <c r="M1364" s="1400"/>
      <c r="N1364" s="1400"/>
      <c r="O1364" s="1400"/>
      <c r="P1364" s="1400"/>
    </row>
    <row r="1365" spans="1:17">
      <c r="A1365" s="1221">
        <f>'Part VIII-Threshold Criteria'!A280</f>
        <v>0</v>
      </c>
      <c r="B1365" s="1221"/>
      <c r="C1365" s="1221"/>
      <c r="D1365" s="1221"/>
      <c r="E1365" s="1221"/>
      <c r="F1365" s="1221"/>
      <c r="G1365" s="1221"/>
      <c r="H1365" s="1221"/>
      <c r="I1365" s="1221"/>
      <c r="J1365" s="1221"/>
      <c r="K1365" s="1221"/>
      <c r="L1365" s="1221"/>
      <c r="M1365" s="1221"/>
      <c r="N1365" s="1221"/>
      <c r="O1365" s="1221"/>
      <c r="P1365" s="1221"/>
      <c r="Q1365" s="1221"/>
    </row>
    <row r="1366" spans="1:17">
      <c r="A1366" s="1219"/>
      <c r="B1366" s="1407"/>
      <c r="C1366" s="1400"/>
      <c r="D1366" s="1400"/>
      <c r="E1366" s="1400"/>
      <c r="F1366" s="1400"/>
      <c r="G1366" s="1400"/>
      <c r="H1366" s="1400"/>
      <c r="I1366" s="1400"/>
      <c r="J1366" s="1400"/>
      <c r="K1366" s="1400"/>
      <c r="L1366" s="1400"/>
      <c r="M1366" s="1400"/>
      <c r="Q1366" s="1219"/>
    </row>
    <row r="1367" spans="1:17">
      <c r="A1367" s="2">
        <v>16</v>
      </c>
      <c r="B1367" s="10" t="s">
        <v>2757</v>
      </c>
      <c r="C1367" s="10"/>
      <c r="D1367" s="234"/>
      <c r="E1367" s="234"/>
      <c r="F1367" s="234"/>
      <c r="G1367" s="234"/>
      <c r="H1367" s="1400"/>
      <c r="I1367" s="1400"/>
      <c r="J1367" s="1400"/>
      <c r="K1367" s="1400"/>
      <c r="L1367" s="1400"/>
      <c r="M1367" s="1400"/>
      <c r="O1367" s="142" t="s">
        <v>1938</v>
      </c>
      <c r="P1367" s="1159">
        <f>'Part VIII-Threshold Criteria'!P282</f>
        <v>0</v>
      </c>
      <c r="Q1367" s="1159"/>
    </row>
    <row r="1369" spans="1:17" ht="12.75" customHeight="1">
      <c r="A1369" s="532"/>
      <c r="B1369" s="1611" t="s">
        <v>2058</v>
      </c>
      <c r="C1369" s="1221" t="s">
        <v>2936</v>
      </c>
      <c r="D1369" s="1221"/>
      <c r="E1369" s="1221"/>
      <c r="F1369" s="1221"/>
      <c r="G1369" s="1221"/>
      <c r="H1369" s="1221"/>
      <c r="I1369" s="1221"/>
      <c r="J1369" s="1221"/>
      <c r="K1369" s="1221"/>
      <c r="L1369" s="1221"/>
      <c r="M1369" s="1221"/>
      <c r="N1369" s="1221"/>
      <c r="O1369" s="236" t="s">
        <v>2058</v>
      </c>
      <c r="P1369" s="1218" t="str">
        <f>'Part VIII-Threshold Criteria'!P284</f>
        <v>Yes</v>
      </c>
      <c r="Q1369" s="1218">
        <f>'Part VIII-Threshold Criteria'!Q284</f>
        <v>0</v>
      </c>
    </row>
    <row r="1370" spans="1:17">
      <c r="B1370" s="67" t="s">
        <v>2061</v>
      </c>
      <c r="C1370" s="54" t="s">
        <v>1457</v>
      </c>
      <c r="D1370" s="54"/>
      <c r="E1370" s="54"/>
      <c r="F1370" s="54"/>
      <c r="G1370" s="54"/>
      <c r="H1370" s="54"/>
      <c r="I1370" s="54"/>
      <c r="J1370" s="54"/>
      <c r="K1370" s="54"/>
      <c r="L1370" s="54"/>
      <c r="M1370" s="54"/>
      <c r="O1370" s="69" t="s">
        <v>2061</v>
      </c>
      <c r="P1370" s="1218" t="str">
        <f>'Part VIII-Threshold Criteria'!P285</f>
        <v>Yes</v>
      </c>
      <c r="Q1370" s="1218">
        <f>'Part VIII-Threshold Criteria'!Q285</f>
        <v>0</v>
      </c>
    </row>
    <row r="1371" spans="1:17">
      <c r="B1371" s="101" t="s">
        <v>1936</v>
      </c>
      <c r="D1371" s="101"/>
      <c r="E1371" s="101"/>
      <c r="F1371" s="101"/>
      <c r="G1371" s="101"/>
      <c r="H1371" s="1220"/>
      <c r="I1371" s="1407"/>
      <c r="J1371" s="1407"/>
      <c r="K1371" s="1407"/>
      <c r="L1371" s="1219"/>
      <c r="M1371" s="1219"/>
      <c r="N1371" s="1219"/>
      <c r="O1371" s="1219"/>
      <c r="P1371" s="1219"/>
      <c r="Q1371" s="1219"/>
    </row>
    <row r="1372" spans="1:17" ht="78.75">
      <c r="A1372" s="1221" t="str">
        <f>'Part VIII-Threshold Criteria'!A287</f>
        <v>The conceputal site development plan is included in Tab 16.</v>
      </c>
      <c r="B1372" s="1221"/>
      <c r="C1372" s="1221"/>
      <c r="D1372" s="1221"/>
      <c r="E1372" s="1221"/>
      <c r="F1372" s="1221"/>
      <c r="G1372" s="1221"/>
      <c r="H1372" s="1221"/>
      <c r="I1372" s="1221"/>
      <c r="J1372" s="1221"/>
      <c r="K1372" s="1221"/>
      <c r="L1372" s="1221"/>
      <c r="M1372" s="1221"/>
      <c r="N1372" s="1221"/>
      <c r="O1372" s="1221"/>
      <c r="P1372" s="1221"/>
      <c r="Q1372" s="1221"/>
    </row>
    <row r="1373" spans="1:17">
      <c r="B1373" s="147" t="s">
        <v>1937</v>
      </c>
      <c r="C1373" s="148"/>
      <c r="D1373" s="1400"/>
      <c r="E1373" s="1400"/>
      <c r="F1373" s="1400"/>
      <c r="G1373" s="1400"/>
      <c r="H1373" s="1400"/>
      <c r="I1373" s="1400"/>
      <c r="J1373" s="1400"/>
      <c r="K1373" s="1400"/>
      <c r="L1373" s="1400"/>
      <c r="M1373" s="1400"/>
      <c r="N1373" s="1400"/>
      <c r="O1373" s="1400"/>
      <c r="P1373" s="1400"/>
    </row>
    <row r="1374" spans="1:17">
      <c r="A1374" s="1221">
        <f>'Part VIII-Threshold Criteria'!A289</f>
        <v>0</v>
      </c>
      <c r="B1374" s="1221"/>
      <c r="C1374" s="1221"/>
      <c r="D1374" s="1221"/>
      <c r="E1374" s="1221"/>
      <c r="F1374" s="1221"/>
      <c r="G1374" s="1221"/>
      <c r="H1374" s="1221"/>
      <c r="I1374" s="1221"/>
      <c r="J1374" s="1221"/>
      <c r="K1374" s="1221"/>
      <c r="L1374" s="1221"/>
      <c r="M1374" s="1221"/>
      <c r="N1374" s="1221"/>
      <c r="O1374" s="1221"/>
      <c r="P1374" s="1221"/>
      <c r="Q1374" s="1221"/>
    </row>
    <row r="1375" spans="1:17">
      <c r="A1375" s="2">
        <v>17</v>
      </c>
      <c r="B1375" s="2" t="s">
        <v>2758</v>
      </c>
      <c r="C1375" s="2"/>
      <c r="D1375" s="1400"/>
      <c r="E1375" s="1400"/>
      <c r="F1375" s="1400"/>
      <c r="G1375" s="1400"/>
      <c r="H1375" s="1400"/>
      <c r="I1375" s="1400"/>
      <c r="J1375" s="1400"/>
      <c r="K1375" s="1400"/>
      <c r="L1375" s="1400"/>
      <c r="M1375" s="1400"/>
      <c r="O1375" s="142" t="s">
        <v>1938</v>
      </c>
      <c r="P1375" s="1159">
        <f>'Part VIII-Threshold Criteria'!P290</f>
        <v>0</v>
      </c>
      <c r="Q1375" s="1159"/>
    </row>
    <row r="1377" spans="1:17" ht="12.75" customHeight="1">
      <c r="A1377" s="532"/>
      <c r="B1377" s="1611" t="s">
        <v>2058</v>
      </c>
      <c r="C1377" s="1221" t="s">
        <v>2937</v>
      </c>
      <c r="D1377" s="1477"/>
      <c r="E1377" s="1477"/>
      <c r="F1377" s="1477"/>
      <c r="G1377" s="1477"/>
      <c r="H1377" s="1477"/>
      <c r="I1377" s="1477"/>
      <c r="J1377" s="1477"/>
      <c r="K1377" s="1477"/>
      <c r="L1377" s="1477"/>
      <c r="M1377" s="1477"/>
      <c r="N1377" s="1477"/>
      <c r="O1377" s="236" t="s">
        <v>2058</v>
      </c>
      <c r="P1377" s="1218" t="str">
        <f>'Part VIII-Threshold Criteria'!P292</f>
        <v>Agree</v>
      </c>
      <c r="Q1377" s="1218">
        <f>'Part VIII-Threshold Criteria'!Q292</f>
        <v>0</v>
      </c>
    </row>
    <row r="1378" spans="1:17" ht="12.75" customHeight="1">
      <c r="A1378" s="532"/>
      <c r="B1378" s="1611" t="s">
        <v>2061</v>
      </c>
      <c r="C1378" s="1221" t="s">
        <v>2938</v>
      </c>
      <c r="D1378" s="1477"/>
      <c r="E1378" s="1477"/>
      <c r="F1378" s="1477"/>
      <c r="G1378" s="1477"/>
      <c r="H1378" s="1477"/>
      <c r="I1378" s="1477"/>
      <c r="J1378" s="1477"/>
      <c r="K1378" s="1477"/>
      <c r="L1378" s="1477"/>
      <c r="M1378" s="1477"/>
      <c r="N1378" s="1477"/>
      <c r="O1378" s="236" t="s">
        <v>2061</v>
      </c>
      <c r="P1378" s="1218" t="str">
        <f>'Part VIII-Threshold Criteria'!P293</f>
        <v>Agree</v>
      </c>
      <c r="Q1378" s="1218">
        <f>'Part VIII-Threshold Criteria'!Q293</f>
        <v>0</v>
      </c>
    </row>
    <row r="1379" spans="1:17">
      <c r="B1379" s="101" t="s">
        <v>1936</v>
      </c>
      <c r="D1379" s="101"/>
      <c r="E1379" s="101"/>
      <c r="F1379" s="101"/>
      <c r="G1379" s="101"/>
      <c r="H1379" s="1220"/>
      <c r="I1379" s="1407"/>
      <c r="J1379" s="1407"/>
      <c r="K1379" s="1407"/>
      <c r="L1379" s="1219"/>
      <c r="M1379" s="1219"/>
      <c r="N1379" s="1219"/>
      <c r="O1379" s="1219"/>
      <c r="P1379" s="1219"/>
      <c r="Q1379" s="1219"/>
    </row>
    <row r="1380" spans="1:17" ht="101.25">
      <c r="A1380" s="1221" t="str">
        <f>'Part VIII-Threshold Criteria'!A295</f>
        <v>The applicant agrees to meet DCA's building sustainability requirements.</v>
      </c>
      <c r="B1380" s="1221"/>
      <c r="C1380" s="1221"/>
      <c r="D1380" s="1221"/>
      <c r="E1380" s="1221"/>
      <c r="F1380" s="1221"/>
      <c r="G1380" s="1221"/>
      <c r="H1380" s="1221"/>
      <c r="I1380" s="1221"/>
      <c r="J1380" s="1221"/>
      <c r="K1380" s="1221"/>
      <c r="L1380" s="1221"/>
      <c r="M1380" s="1221"/>
      <c r="N1380" s="1221"/>
      <c r="O1380" s="1221"/>
      <c r="P1380" s="1221"/>
      <c r="Q1380" s="1221"/>
    </row>
    <row r="1381" spans="1:17">
      <c r="B1381" s="147" t="s">
        <v>1937</v>
      </c>
      <c r="C1381" s="148"/>
      <c r="D1381" s="1400"/>
      <c r="E1381" s="1400"/>
      <c r="F1381" s="1400"/>
      <c r="G1381" s="1400"/>
      <c r="H1381" s="1400"/>
      <c r="I1381" s="1400"/>
      <c r="J1381" s="1400"/>
      <c r="K1381" s="1400"/>
      <c r="L1381" s="1400"/>
      <c r="M1381" s="1400"/>
      <c r="N1381" s="1400"/>
      <c r="O1381" s="1400"/>
      <c r="P1381" s="1400"/>
    </row>
    <row r="1382" spans="1:17">
      <c r="A1382" s="1221">
        <f>'Part VIII-Threshold Criteria'!A297</f>
        <v>0</v>
      </c>
      <c r="B1382" s="1221"/>
      <c r="C1382" s="1221"/>
      <c r="D1382" s="1221"/>
      <c r="E1382" s="1221"/>
      <c r="F1382" s="1221"/>
      <c r="G1382" s="1221"/>
      <c r="H1382" s="1221"/>
      <c r="I1382" s="1221"/>
      <c r="J1382" s="1221"/>
      <c r="K1382" s="1221"/>
      <c r="L1382" s="1221"/>
      <c r="M1382" s="1221"/>
      <c r="N1382" s="1221"/>
      <c r="O1382" s="1221"/>
      <c r="P1382" s="1221"/>
      <c r="Q1382" s="1221"/>
    </row>
    <row r="1383" spans="1:17">
      <c r="A1383" s="2">
        <v>18</v>
      </c>
      <c r="B1383" s="2" t="s">
        <v>2759</v>
      </c>
      <c r="C1383" s="159"/>
      <c r="D1383" s="1404"/>
      <c r="E1383" s="1400"/>
      <c r="F1383" s="1400"/>
      <c r="G1383" s="1400"/>
      <c r="H1383" s="1400"/>
      <c r="I1383" s="1400"/>
      <c r="J1383" s="1400"/>
      <c r="K1383" s="1400"/>
      <c r="L1383" s="1400"/>
      <c r="M1383" s="1400"/>
      <c r="O1383" s="142" t="s">
        <v>1938</v>
      </c>
      <c r="P1383" s="1159">
        <f>'Part VIII-Threshold Criteria'!P298</f>
        <v>0</v>
      </c>
      <c r="Q1383" s="1159"/>
    </row>
    <row r="1385" spans="1:17" ht="12.75" customHeight="1">
      <c r="B1385" s="1611" t="s">
        <v>2058</v>
      </c>
      <c r="C1385" s="236" t="s">
        <v>1803</v>
      </c>
      <c r="D1385" s="1221" t="s">
        <v>3736</v>
      </c>
      <c r="E1385" s="1221"/>
      <c r="F1385" s="1221"/>
      <c r="G1385" s="1221"/>
      <c r="H1385" s="1221"/>
      <c r="I1385" s="1221"/>
      <c r="J1385" s="1221"/>
      <c r="K1385" s="1221"/>
      <c r="L1385" s="1221"/>
      <c r="M1385" s="1221"/>
      <c r="N1385" s="1221"/>
      <c r="O1385" s="236" t="s">
        <v>2834</v>
      </c>
      <c r="P1385" s="1218" t="str">
        <f>'Part VIII-Threshold Criteria'!P300</f>
        <v>Yes</v>
      </c>
      <c r="Q1385" s="1218">
        <f>'Part VIII-Threshold Criteria'!Q300</f>
        <v>0</v>
      </c>
    </row>
    <row r="1386" spans="1:17" ht="12.75" customHeight="1">
      <c r="A1386" s="532"/>
      <c r="B1386" s="1611"/>
      <c r="C1386" s="236" t="s">
        <v>1804</v>
      </c>
      <c r="D1386" s="1221" t="s">
        <v>3720</v>
      </c>
      <c r="E1386" s="1221"/>
      <c r="F1386" s="1221"/>
      <c r="G1386" s="1221"/>
      <c r="H1386" s="1221"/>
      <c r="I1386" s="1221"/>
      <c r="J1386" s="1221"/>
      <c r="K1386" s="1221"/>
      <c r="L1386" s="1221"/>
      <c r="M1386" s="1221"/>
      <c r="N1386" s="1221"/>
      <c r="O1386" s="236" t="s">
        <v>1804</v>
      </c>
      <c r="P1386" s="1218">
        <f>'Part VIII-Threshold Criteria'!P301</f>
        <v>0</v>
      </c>
      <c r="Q1386" s="1218">
        <f>'Part VIII-Threshold Criteria'!Q301</f>
        <v>0</v>
      </c>
    </row>
    <row r="1387" spans="1:17" ht="12.75" customHeight="1">
      <c r="A1387" s="533"/>
      <c r="B1387" s="67"/>
      <c r="C1387" s="69" t="s">
        <v>1805</v>
      </c>
      <c r="D1387" s="144" t="s">
        <v>4058</v>
      </c>
      <c r="E1387" s="144"/>
      <c r="F1387" s="144"/>
      <c r="G1387" s="144"/>
      <c r="H1387" s="144"/>
      <c r="I1387" s="144"/>
      <c r="J1387" s="144"/>
      <c r="K1387" s="144"/>
      <c r="L1387" s="144"/>
      <c r="M1387" s="144"/>
      <c r="N1387" s="144"/>
      <c r="O1387" s="69" t="s">
        <v>1805</v>
      </c>
      <c r="P1387" s="1218" t="str">
        <f>'Part VIII-Threshold Criteria'!P302</f>
        <v>Yes</v>
      </c>
      <c r="Q1387" s="1218">
        <f>'Part VIII-Threshold Criteria'!Q302</f>
        <v>0</v>
      </c>
    </row>
    <row r="1388" spans="1:17" ht="12.75" customHeight="1">
      <c r="A1388" s="533"/>
      <c r="B1388" s="1611" t="s">
        <v>2061</v>
      </c>
      <c r="C1388" s="236" t="s">
        <v>1803</v>
      </c>
      <c r="D1388" s="1221" t="s">
        <v>4059</v>
      </c>
      <c r="E1388" s="1221"/>
      <c r="F1388" s="1221"/>
      <c r="G1388" s="1221"/>
      <c r="H1388" s="1221"/>
      <c r="I1388" s="1221"/>
      <c r="J1388" s="1221"/>
      <c r="K1388" s="1221"/>
      <c r="L1388" s="1221"/>
      <c r="M1388" s="1221"/>
      <c r="N1388" s="1221"/>
      <c r="O1388" s="69" t="s">
        <v>4061</v>
      </c>
      <c r="P1388" s="1218" t="str">
        <f>'Part VIII-Threshold Criteria'!P303</f>
        <v>Yes</v>
      </c>
      <c r="Q1388" s="1218">
        <f>'Part VIII-Threshold Criteria'!Q303</f>
        <v>0</v>
      </c>
    </row>
    <row r="1389" spans="1:17" ht="12.75" customHeight="1">
      <c r="A1389" s="533"/>
      <c r="B1389" s="1611"/>
      <c r="C1389" s="236"/>
      <c r="D1389" s="1221" t="s">
        <v>4060</v>
      </c>
      <c r="E1389" s="1221"/>
      <c r="F1389" s="1221"/>
      <c r="G1389" s="1221"/>
      <c r="H1389" s="1221"/>
      <c r="I1389" s="1221"/>
      <c r="J1389" s="1221"/>
      <c r="K1389" s="1221"/>
      <c r="L1389" s="1221"/>
      <c r="M1389" s="1221"/>
      <c r="N1389" s="1221"/>
      <c r="O1389" s="69" t="s">
        <v>2195</v>
      </c>
      <c r="P1389" s="1218" t="str">
        <f>'Part VIII-Threshold Criteria'!P304</f>
        <v>Yes</v>
      </c>
      <c r="Q1389" s="1218">
        <f>'Part VIII-Threshold Criteria'!Q304</f>
        <v>0</v>
      </c>
    </row>
    <row r="1390" spans="1:17" ht="12.75" customHeight="1">
      <c r="A1390" s="533"/>
      <c r="B1390" s="1611"/>
      <c r="C1390" s="236" t="s">
        <v>1804</v>
      </c>
      <c r="D1390" s="1221" t="s">
        <v>2833</v>
      </c>
      <c r="E1390" s="1221"/>
      <c r="F1390" s="1221"/>
      <c r="G1390" s="1221"/>
      <c r="H1390" s="1221"/>
      <c r="I1390" s="1221"/>
      <c r="J1390" s="1221"/>
      <c r="K1390" s="1221"/>
      <c r="L1390" s="1221"/>
      <c r="M1390" s="1221"/>
      <c r="N1390" s="1221"/>
      <c r="O1390" s="69" t="s">
        <v>1804</v>
      </c>
      <c r="P1390" s="1218" t="str">
        <f>'Part VIII-Threshold Criteria'!P305</f>
        <v>Yes</v>
      </c>
      <c r="Q1390" s="1218">
        <f>'Part VIII-Threshold Criteria'!Q305</f>
        <v>0</v>
      </c>
    </row>
    <row r="1391" spans="1:17" ht="12.75" customHeight="1">
      <c r="A1391" s="533"/>
      <c r="B1391" s="1611" t="s">
        <v>779</v>
      </c>
      <c r="C1391" s="1221" t="s">
        <v>4063</v>
      </c>
      <c r="D1391" s="1221"/>
      <c r="E1391" s="1221"/>
      <c r="F1391" s="1221"/>
      <c r="G1391" s="1221"/>
      <c r="H1391" s="1221"/>
      <c r="I1391" s="1221"/>
      <c r="J1391" s="1221"/>
      <c r="K1391" s="1221"/>
      <c r="L1391" s="1221"/>
      <c r="M1391" s="1221"/>
      <c r="N1391" s="1221"/>
      <c r="O1391" s="236" t="s">
        <v>779</v>
      </c>
      <c r="P1391" s="1218" t="str">
        <f>'Part VIII-Threshold Criteria'!P306</f>
        <v>Yes</v>
      </c>
      <c r="Q1391" s="1218">
        <f>'Part VIII-Threshold Criteria'!Q306</f>
        <v>0</v>
      </c>
    </row>
    <row r="1392" spans="1:17">
      <c r="A1392" s="533"/>
      <c r="B1392" s="1611"/>
      <c r="C1392" s="150" t="s">
        <v>4064</v>
      </c>
      <c r="D1392" s="150"/>
      <c r="E1392" s="150"/>
      <c r="F1392" s="150"/>
      <c r="G1392" s="150"/>
      <c r="H1392" s="150"/>
      <c r="I1392" s="150"/>
      <c r="J1392" s="150"/>
      <c r="K1392" s="150"/>
      <c r="L1392" s="150"/>
      <c r="M1392" s="150"/>
      <c r="N1392" s="150"/>
      <c r="O1392" s="150"/>
      <c r="P1392" s="150"/>
      <c r="Q1392" s="150"/>
    </row>
    <row r="1393" spans="1:17" ht="12.75" customHeight="1">
      <c r="A1393" s="532"/>
      <c r="B1393" s="532"/>
      <c r="C1393" s="236" t="s">
        <v>1803</v>
      </c>
      <c r="D1393" s="1221" t="s">
        <v>4062</v>
      </c>
      <c r="E1393" s="1221"/>
      <c r="F1393" s="1221"/>
      <c r="G1393" s="1221"/>
      <c r="H1393" s="1221"/>
      <c r="I1393" s="1221"/>
      <c r="J1393" s="1221"/>
      <c r="K1393" s="1221"/>
      <c r="L1393" s="1221"/>
      <c r="M1393" s="1221"/>
      <c r="N1393" s="1221"/>
      <c r="O1393" s="236" t="s">
        <v>4067</v>
      </c>
      <c r="P1393" s="1218" t="str">
        <f>'Part VIII-Threshold Criteria'!P308</f>
        <v>Yes</v>
      </c>
      <c r="Q1393" s="1218">
        <f>'Part VIII-Threshold Criteria'!Q308</f>
        <v>0</v>
      </c>
    </row>
    <row r="1394" spans="1:17" ht="12.75" customHeight="1">
      <c r="A1394" s="532"/>
      <c r="B1394" s="1611"/>
      <c r="C1394" s="236" t="s">
        <v>1804</v>
      </c>
      <c r="D1394" s="1221" t="s">
        <v>4136</v>
      </c>
      <c r="E1394" s="1221"/>
      <c r="F1394" s="1221"/>
      <c r="G1394" s="1221"/>
      <c r="H1394" s="1221"/>
      <c r="I1394" s="1221"/>
      <c r="J1394" s="1221"/>
      <c r="K1394" s="1221"/>
      <c r="L1394" s="1221"/>
      <c r="M1394" s="1221"/>
      <c r="N1394" s="1221"/>
      <c r="O1394" s="236" t="s">
        <v>4068</v>
      </c>
      <c r="P1394" s="1218" t="str">
        <f>'Part VIII-Threshold Criteria'!P309</f>
        <v>Yes</v>
      </c>
      <c r="Q1394" s="1218">
        <f>'Part VIII-Threshold Criteria'!Q309</f>
        <v>0</v>
      </c>
    </row>
    <row r="1395" spans="1:17" ht="12.75" customHeight="1">
      <c r="A1395" s="532"/>
      <c r="B1395" s="1611"/>
      <c r="C1395" s="236" t="s">
        <v>1805</v>
      </c>
      <c r="D1395" s="1221" t="s">
        <v>4065</v>
      </c>
      <c r="E1395" s="1221"/>
      <c r="F1395" s="1221"/>
      <c r="G1395" s="1221"/>
      <c r="H1395" s="1221"/>
      <c r="I1395" s="1221"/>
      <c r="J1395" s="1221"/>
      <c r="K1395" s="1221"/>
      <c r="L1395" s="1221"/>
      <c r="M1395" s="1221"/>
      <c r="N1395" s="1221"/>
      <c r="O1395" s="236" t="s">
        <v>4069</v>
      </c>
      <c r="P1395" s="1218" t="str">
        <f>'Part VIII-Threshold Criteria'!P310</f>
        <v>Yes</v>
      </c>
      <c r="Q1395" s="1218">
        <f>'Part VIII-Threshold Criteria'!Q310</f>
        <v>0</v>
      </c>
    </row>
    <row r="1396" spans="1:17" ht="12.75" customHeight="1">
      <c r="A1396" s="532"/>
      <c r="B1396" s="1611"/>
      <c r="C1396" s="236" t="s">
        <v>2448</v>
      </c>
      <c r="D1396" s="1221" t="s">
        <v>4066</v>
      </c>
      <c r="E1396" s="1221"/>
      <c r="F1396" s="1221"/>
      <c r="G1396" s="1221"/>
      <c r="H1396" s="1221"/>
      <c r="I1396" s="1221"/>
      <c r="J1396" s="1221"/>
      <c r="K1396" s="1221"/>
      <c r="L1396" s="1221"/>
      <c r="M1396" s="1221"/>
      <c r="N1396" s="1221"/>
      <c r="O1396" s="236" t="s">
        <v>4070</v>
      </c>
      <c r="P1396" s="1218" t="str">
        <f>'Part VIII-Threshold Criteria'!P311</f>
        <v>Yes</v>
      </c>
      <c r="Q1396" s="1218">
        <f>'Part VIII-Threshold Criteria'!Q311</f>
        <v>0</v>
      </c>
    </row>
    <row r="1397" spans="1:17">
      <c r="B1397" s="101" t="s">
        <v>1936</v>
      </c>
      <c r="D1397" s="101"/>
      <c r="E1397" s="101"/>
      <c r="F1397" s="101"/>
      <c r="G1397" s="101"/>
      <c r="H1397" s="1220"/>
      <c r="I1397" s="1407"/>
      <c r="J1397" s="1407"/>
      <c r="K1397" s="1407"/>
      <c r="L1397" s="1219"/>
      <c r="M1397" s="1219"/>
      <c r="N1397" s="1219"/>
      <c r="O1397" s="1219"/>
      <c r="P1397" s="1219"/>
      <c r="Q1397" s="1219"/>
    </row>
    <row r="1398" spans="1:17" ht="78.75">
      <c r="A1398" s="1221" t="str">
        <f>'Part VIII-Threshold Criteria'!A313</f>
        <v>The project will meet DCA's minimum accessibility standards.</v>
      </c>
      <c r="B1398" s="1221"/>
      <c r="C1398" s="1221"/>
      <c r="D1398" s="1221"/>
      <c r="E1398" s="1221"/>
      <c r="F1398" s="1221"/>
      <c r="G1398" s="1221"/>
      <c r="H1398" s="1221"/>
      <c r="I1398" s="1221"/>
      <c r="J1398" s="1221"/>
      <c r="K1398" s="1221"/>
      <c r="L1398" s="1221"/>
      <c r="M1398" s="1221"/>
      <c r="N1398" s="1221"/>
      <c r="O1398" s="1221"/>
      <c r="P1398" s="1221"/>
      <c r="Q1398" s="1221"/>
    </row>
    <row r="1399" spans="1:17">
      <c r="B1399" s="147" t="s">
        <v>1937</v>
      </c>
      <c r="C1399" s="148"/>
      <c r="D1399" s="1400"/>
      <c r="E1399" s="1400"/>
      <c r="F1399" s="1400"/>
      <c r="G1399" s="1400"/>
      <c r="H1399" s="1400"/>
      <c r="I1399" s="1400"/>
      <c r="J1399" s="1400"/>
      <c r="K1399" s="1400"/>
      <c r="L1399" s="1400"/>
      <c r="M1399" s="1400"/>
      <c r="N1399" s="1400"/>
      <c r="O1399" s="1400"/>
      <c r="P1399" s="1400"/>
    </row>
    <row r="1400" spans="1:17">
      <c r="A1400" s="1221">
        <f>'Part VIII-Threshold Criteria'!A315</f>
        <v>0</v>
      </c>
      <c r="B1400" s="1221"/>
      <c r="C1400" s="1221"/>
      <c r="D1400" s="1221"/>
      <c r="E1400" s="1221"/>
      <c r="F1400" s="1221"/>
      <c r="G1400" s="1221"/>
      <c r="H1400" s="1221"/>
      <c r="I1400" s="1221"/>
      <c r="J1400" s="1221"/>
      <c r="K1400" s="1221"/>
      <c r="L1400" s="1221"/>
      <c r="M1400" s="1221"/>
      <c r="N1400" s="1221"/>
      <c r="O1400" s="1221"/>
      <c r="P1400" s="1221"/>
      <c r="Q1400" s="1221"/>
    </row>
    <row r="1401" spans="1:17">
      <c r="A1401" s="2">
        <v>19</v>
      </c>
      <c r="B1401" s="10" t="s">
        <v>2760</v>
      </c>
      <c r="C1401" s="10"/>
      <c r="D1401" s="10"/>
      <c r="E1401" s="10"/>
      <c r="F1401" s="10"/>
      <c r="G1401" s="10"/>
      <c r="H1401" s="1400"/>
      <c r="I1401" s="1400"/>
      <c r="J1401" s="1400"/>
      <c r="K1401" s="1400"/>
      <c r="L1401" s="1400"/>
      <c r="M1401" s="1400"/>
      <c r="O1401" s="142" t="s">
        <v>1938</v>
      </c>
      <c r="P1401" s="1159">
        <f>'Part VIII-Threshold Criteria'!P316</f>
        <v>0</v>
      </c>
      <c r="Q1401" s="1159"/>
    </row>
    <row r="1402" spans="1:17">
      <c r="B1402" s="467" t="s">
        <v>2332</v>
      </c>
      <c r="P1402" s="1218" t="str">
        <f>'Part VIII-Threshold Criteria'!P317</f>
        <v>Yes</v>
      </c>
      <c r="Q1402" s="1218">
        <f>'Part VIII-Threshold Criteria'!Q317</f>
        <v>0</v>
      </c>
    </row>
    <row r="1403" spans="1:17">
      <c r="B1403" s="1176" t="s">
        <v>2290</v>
      </c>
      <c r="C1403" s="1176"/>
      <c r="D1403" s="1176"/>
      <c r="E1403" s="1176"/>
      <c r="F1403" s="1176"/>
      <c r="G1403" s="1176"/>
      <c r="H1403" s="1176"/>
      <c r="I1403" s="1176"/>
      <c r="J1403" s="1176"/>
      <c r="K1403" s="1176"/>
      <c r="L1403" s="1176"/>
      <c r="P1403" s="1218">
        <f>'Part VIII-Threshold Criteria'!P318</f>
        <v>0</v>
      </c>
      <c r="Q1403" s="1218">
        <f>'Part VIII-Threshold Criteria'!Q318</f>
        <v>0</v>
      </c>
    </row>
    <row r="1404" spans="1:17">
      <c r="B1404" s="1611" t="s">
        <v>2058</v>
      </c>
      <c r="C1404" s="199" t="s">
        <v>476</v>
      </c>
      <c r="D1404" s="1220"/>
      <c r="E1404" s="1220"/>
      <c r="F1404" s="1220"/>
      <c r="G1404" s="1220"/>
      <c r="H1404" s="1220"/>
      <c r="I1404" s="1220"/>
      <c r="J1404" s="1220"/>
      <c r="K1404" s="1220"/>
      <c r="L1404" s="1220"/>
      <c r="M1404" s="1220"/>
      <c r="N1404" s="236"/>
    </row>
    <row r="1405" spans="1:17" ht="12.75" customHeight="1">
      <c r="A1405" s="781"/>
      <c r="C1405" s="1221" t="s">
        <v>3021</v>
      </c>
      <c r="D1405" s="1221"/>
      <c r="E1405" s="1221"/>
      <c r="F1405" s="1221"/>
      <c r="G1405" s="1221"/>
      <c r="H1405" s="1221"/>
      <c r="I1405" s="1221"/>
      <c r="J1405" s="1221"/>
      <c r="K1405" s="1221"/>
      <c r="L1405" s="1221"/>
      <c r="M1405" s="1221"/>
      <c r="N1405" s="1221"/>
      <c r="O1405" s="236" t="s">
        <v>2058</v>
      </c>
      <c r="P1405" s="1218" t="str">
        <f>'Part VIII-Threshold Criteria'!P320</f>
        <v>Yes</v>
      </c>
      <c r="Q1405" s="1218">
        <f>'Part VIII-Threshold Criteria'!Q320</f>
        <v>0</v>
      </c>
    </row>
    <row r="1406" spans="1:17" ht="12.75" customHeight="1">
      <c r="B1406" s="1611" t="s">
        <v>2061</v>
      </c>
      <c r="C1406" s="1179" t="s">
        <v>477</v>
      </c>
      <c r="D1406" s="1179"/>
      <c r="E1406" s="1179"/>
      <c r="F1406" s="1179"/>
      <c r="G1406" s="1179"/>
      <c r="H1406" s="1179"/>
      <c r="I1406" s="1179"/>
      <c r="J1406" s="1179"/>
      <c r="K1406" s="1179"/>
      <c r="L1406" s="1179"/>
      <c r="M1406" s="1179"/>
      <c r="O1406" s="236" t="s">
        <v>2061</v>
      </c>
      <c r="P1406" s="1219"/>
      <c r="Q1406" s="1219"/>
    </row>
    <row r="1407" spans="1:17" ht="12.75" customHeight="1">
      <c r="A1407" s="781"/>
      <c r="C1407" s="232" t="s">
        <v>1803</v>
      </c>
      <c r="D1407" s="150" t="s">
        <v>1170</v>
      </c>
      <c r="E1407" s="532"/>
      <c r="F1407" s="532"/>
      <c r="G1407" s="1221" t="str">
        <f>'Part VIII-Threshold Criteria'!G322</f>
        <v>Exterior wall faces will have an excess of 40% brick or stone on each total wall surface</v>
      </c>
      <c r="H1407" s="1477"/>
      <c r="I1407" s="1477"/>
      <c r="J1407" s="1477"/>
      <c r="K1407" s="1477"/>
      <c r="L1407" s="1477"/>
      <c r="M1407" s="1477"/>
      <c r="N1407" s="1477"/>
      <c r="O1407" s="236" t="s">
        <v>1803</v>
      </c>
      <c r="P1407" s="1218" t="str">
        <f>'Part VIII-Threshold Criteria'!P322</f>
        <v>Yes</v>
      </c>
      <c r="Q1407" s="1218">
        <f>'Part VIII-Threshold Criteria'!Q322</f>
        <v>0</v>
      </c>
    </row>
    <row r="1408" spans="1:17" ht="12.75" customHeight="1">
      <c r="A1408" s="781"/>
      <c r="C1408" s="232" t="s">
        <v>1804</v>
      </c>
      <c r="D1408" s="1221" t="s">
        <v>1171</v>
      </c>
      <c r="E1408" s="1477"/>
      <c r="F1408" s="1477"/>
      <c r="G1408" s="1221" t="str">
        <f>'Part VIII-Threshold Criteria'!G323</f>
        <v>Upgraded roofing shingles, or roofing materials  (warranty 30 years or greater)</v>
      </c>
      <c r="H1408" s="1477"/>
      <c r="I1408" s="1477"/>
      <c r="J1408" s="1477"/>
      <c r="K1408" s="1477"/>
      <c r="L1408" s="1477"/>
      <c r="M1408" s="1477"/>
      <c r="N1408" s="1477"/>
      <c r="O1408" s="236" t="s">
        <v>1804</v>
      </c>
      <c r="P1408" s="1218" t="str">
        <f>'Part VIII-Threshold Criteria'!P323</f>
        <v>Yes</v>
      </c>
      <c r="Q1408" s="1218">
        <f>'Part VIII-Threshold Criteria'!Q323</f>
        <v>0</v>
      </c>
    </row>
    <row r="1409" spans="1:17">
      <c r="A1409" s="1219"/>
      <c r="B1409" s="1219"/>
      <c r="C1409" s="1219"/>
      <c r="D1409" s="1219"/>
      <c r="E1409" s="1219"/>
      <c r="F1409" s="1219"/>
      <c r="G1409" s="1219"/>
      <c r="H1409" s="1219"/>
      <c r="I1409" s="1219"/>
      <c r="J1409" s="1219"/>
      <c r="K1409" s="1219"/>
      <c r="L1409" s="1219"/>
      <c r="M1409" s="1219"/>
      <c r="N1409" s="1219"/>
      <c r="O1409" s="1219"/>
      <c r="P1409" s="1219"/>
      <c r="Q1409" s="1219"/>
    </row>
    <row r="1410" spans="1:17" ht="12.75" customHeight="1">
      <c r="A1410" s="532"/>
      <c r="B1410" s="1611" t="s">
        <v>779</v>
      </c>
      <c r="C1410" s="1650" t="s">
        <v>2766</v>
      </c>
      <c r="D1410" s="1650"/>
      <c r="E1410" s="1650"/>
      <c r="F1410" s="1650"/>
      <c r="G1410" s="1650"/>
      <c r="H1410" s="1650"/>
      <c r="I1410" s="1650"/>
      <c r="J1410" s="1650"/>
      <c r="K1410" s="1650"/>
      <c r="L1410" s="1650"/>
      <c r="M1410" s="1650"/>
      <c r="N1410" s="1650"/>
      <c r="O1410" s="1641" t="s">
        <v>779</v>
      </c>
      <c r="P1410" s="1219"/>
      <c r="Q1410" s="1219"/>
    </row>
    <row r="1411" spans="1:17">
      <c r="A1411" s="781"/>
      <c r="B1411" s="532"/>
      <c r="C1411" s="232" t="s">
        <v>1803</v>
      </c>
      <c r="D1411" s="1221">
        <f>'Part VIII-Threshold Criteria'!D326</f>
        <v>0</v>
      </c>
      <c r="E1411" s="1221"/>
      <c r="F1411" s="1221"/>
      <c r="G1411" s="1221"/>
      <c r="H1411" s="1221"/>
      <c r="I1411" s="1221"/>
      <c r="J1411" s="1221"/>
      <c r="K1411" s="1221"/>
      <c r="L1411" s="1221"/>
      <c r="M1411" s="1221"/>
      <c r="N1411" s="1221"/>
      <c r="O1411" s="236" t="s">
        <v>1803</v>
      </c>
      <c r="P1411" s="1218">
        <f>'Part VIII-Threshold Criteria'!P326</f>
        <v>0</v>
      </c>
      <c r="Q1411" s="1218">
        <f>'Part VIII-Threshold Criteria'!Q326</f>
        <v>0</v>
      </c>
    </row>
    <row r="1412" spans="1:17">
      <c r="A1412" s="781"/>
      <c r="B1412" s="532"/>
      <c r="C1412" s="232" t="s">
        <v>1804</v>
      </c>
      <c r="D1412" s="1221">
        <f>'Part VIII-Threshold Criteria'!D327</f>
        <v>0</v>
      </c>
      <c r="E1412" s="1221"/>
      <c r="F1412" s="1221"/>
      <c r="G1412" s="1221"/>
      <c r="H1412" s="1221"/>
      <c r="I1412" s="1221"/>
      <c r="J1412" s="1221"/>
      <c r="K1412" s="1221"/>
      <c r="L1412" s="1221"/>
      <c r="M1412" s="1221"/>
      <c r="N1412" s="1221"/>
      <c r="O1412" s="236" t="s">
        <v>1804</v>
      </c>
      <c r="P1412" s="1218">
        <f>'Part VIII-Threshold Criteria'!P327</f>
        <v>0</v>
      </c>
      <c r="Q1412" s="1218">
        <f>'Part VIII-Threshold Criteria'!Q327</f>
        <v>0</v>
      </c>
    </row>
    <row r="1413" spans="1:17">
      <c r="A1413" s="1219"/>
      <c r="B1413" s="1219"/>
      <c r="C1413" s="1219"/>
      <c r="D1413" s="1219"/>
      <c r="E1413" s="1219"/>
      <c r="F1413" s="1219"/>
      <c r="G1413" s="1219"/>
      <c r="H1413" s="1219"/>
      <c r="I1413" s="1219"/>
      <c r="J1413" s="1219"/>
      <c r="K1413" s="1219"/>
      <c r="L1413" s="1219"/>
      <c r="M1413" s="1219"/>
      <c r="N1413" s="1219"/>
      <c r="O1413" s="1219"/>
      <c r="P1413" s="1219"/>
      <c r="Q1413" s="1219"/>
    </row>
    <row r="1414" spans="1:17">
      <c r="B1414" s="101" t="s">
        <v>1936</v>
      </c>
      <c r="D1414" s="101"/>
      <c r="E1414" s="101"/>
      <c r="F1414" s="101"/>
      <c r="G1414" s="101"/>
      <c r="H1414" s="1220"/>
      <c r="I1414" s="1407"/>
      <c r="J1414" s="1407"/>
      <c r="K1414" s="1407"/>
      <c r="L1414" s="1219"/>
      <c r="M1414" s="1219"/>
      <c r="N1414" s="1219"/>
      <c r="O1414" s="1219"/>
      <c r="P1414" s="1219"/>
      <c r="Q1414" s="1219"/>
    </row>
    <row r="1415" spans="1:17" ht="101.25">
      <c r="A1415" s="1221" t="str">
        <f>'Part VIII-Threshold Criteria'!A330</f>
        <v>The project received an architectural standards waiver which has been included in Tab 19.</v>
      </c>
      <c r="B1415" s="1221"/>
      <c r="C1415" s="1221"/>
      <c r="D1415" s="1221"/>
      <c r="E1415" s="1221"/>
      <c r="F1415" s="1221"/>
      <c r="G1415" s="1221"/>
      <c r="H1415" s="1221"/>
      <c r="I1415" s="1221"/>
      <c r="J1415" s="1221"/>
      <c r="K1415" s="1221"/>
      <c r="L1415" s="1221"/>
      <c r="M1415" s="1221"/>
      <c r="N1415" s="1221"/>
      <c r="O1415" s="1221"/>
      <c r="P1415" s="1221"/>
      <c r="Q1415" s="1221"/>
    </row>
    <row r="1416" spans="1:17">
      <c r="B1416" s="147" t="s">
        <v>1937</v>
      </c>
      <c r="C1416" s="148"/>
      <c r="D1416" s="1400"/>
      <c r="E1416" s="1400"/>
      <c r="F1416" s="1400"/>
      <c r="G1416" s="1400"/>
      <c r="H1416" s="1400"/>
      <c r="I1416" s="1400"/>
      <c r="J1416" s="1400"/>
      <c r="K1416" s="1400"/>
      <c r="L1416" s="1400"/>
      <c r="M1416" s="1400"/>
      <c r="N1416" s="1400"/>
      <c r="O1416" s="1400"/>
      <c r="P1416" s="1400"/>
    </row>
    <row r="1417" spans="1:17">
      <c r="A1417" s="1221">
        <f>'Part VIII-Threshold Criteria'!A332</f>
        <v>0</v>
      </c>
      <c r="B1417" s="1221"/>
      <c r="C1417" s="1221"/>
      <c r="D1417" s="1221"/>
      <c r="E1417" s="1221"/>
      <c r="F1417" s="1221"/>
      <c r="G1417" s="1221"/>
      <c r="H1417" s="1221"/>
      <c r="I1417" s="1221"/>
      <c r="J1417" s="1221"/>
      <c r="K1417" s="1221"/>
      <c r="L1417" s="1221"/>
      <c r="M1417" s="1221"/>
      <c r="N1417" s="1221"/>
      <c r="O1417" s="1221"/>
      <c r="P1417" s="1221"/>
      <c r="Q1417" s="1221"/>
    </row>
    <row r="1418" spans="1:17">
      <c r="A1418" s="2">
        <v>20</v>
      </c>
      <c r="B1418" s="2" t="s">
        <v>3026</v>
      </c>
      <c r="C1418" s="2"/>
      <c r="D1418" s="1400"/>
      <c r="E1418" s="1400"/>
      <c r="F1418" s="1400"/>
      <c r="G1418" s="1400"/>
      <c r="H1418" s="1400"/>
      <c r="O1418" s="142" t="s">
        <v>1938</v>
      </c>
      <c r="P1418" s="1159">
        <f>'Part VIII-Threshold Criteria'!P333</f>
        <v>0</v>
      </c>
      <c r="Q1418" s="1159"/>
    </row>
    <row r="1419" spans="1:17">
      <c r="B1419" s="467" t="s">
        <v>3027</v>
      </c>
      <c r="P1419" s="1218" t="str">
        <f>'Part VIII-Threshold Criteria'!P334</f>
        <v>No</v>
      </c>
      <c r="Q1419" s="1218">
        <f>'Part VIII-Threshold Criteria'!Q334</f>
        <v>0</v>
      </c>
    </row>
    <row r="1420" spans="1:17">
      <c r="B1420" s="467" t="s">
        <v>2431</v>
      </c>
      <c r="P1420" s="1218">
        <f>'Part VIII-Threshold Criteria'!P335</f>
        <v>0</v>
      </c>
      <c r="Q1420" s="1218">
        <f>'Part VIII-Threshold Criteria'!Q335</f>
        <v>0</v>
      </c>
    </row>
    <row r="1421" spans="1:17">
      <c r="B1421" s="467" t="s">
        <v>3028</v>
      </c>
      <c r="M1421" s="1577" t="str">
        <f>'Part VIII-Threshold Criteria'!M336</f>
        <v>Qualified w/out Conditions</v>
      </c>
      <c r="N1421" s="1577"/>
      <c r="O1421" s="1577"/>
    </row>
    <row r="1422" spans="1:17">
      <c r="B1422" s="1643" t="s">
        <v>2432</v>
      </c>
      <c r="M1422" s="1577" t="str">
        <f>'Part VIII-Threshold Criteria'!M337</f>
        <v>&lt;&lt; Select Designation &gt;&gt;</v>
      </c>
      <c r="N1422" s="1577"/>
      <c r="O1422" s="1577"/>
    </row>
    <row r="1423" spans="1:17">
      <c r="B1423" s="101" t="s">
        <v>1936</v>
      </c>
      <c r="D1423" s="101"/>
      <c r="E1423" s="101"/>
      <c r="F1423" s="101"/>
      <c r="G1423" s="101"/>
      <c r="H1423" s="1220"/>
      <c r="I1423" s="1407"/>
      <c r="J1423" s="1407"/>
      <c r="K1423" s="1407"/>
      <c r="L1423" s="1219"/>
      <c r="M1423" s="1219"/>
      <c r="N1423" s="1219"/>
      <c r="O1423" s="1219"/>
      <c r="P1423" s="1219"/>
      <c r="Q1423" s="1219"/>
    </row>
    <row r="1424" spans="1:17" ht="123.75">
      <c r="A1424" s="1221" t="str">
        <f>'Part VIII-Threshold Criteria'!A339</f>
        <v>All team performance workbooks and requisite documentation has been included in Tab 20.</v>
      </c>
      <c r="B1424" s="1221"/>
      <c r="C1424" s="1221"/>
      <c r="D1424" s="1221"/>
      <c r="E1424" s="1221"/>
      <c r="F1424" s="1221"/>
      <c r="G1424" s="1221"/>
      <c r="H1424" s="1221"/>
      <c r="I1424" s="1221"/>
      <c r="J1424" s="1221"/>
      <c r="K1424" s="1221"/>
      <c r="L1424" s="1221"/>
      <c r="M1424" s="1221"/>
      <c r="N1424" s="1221"/>
      <c r="O1424" s="1221"/>
      <c r="P1424" s="1221"/>
      <c r="Q1424" s="1221"/>
    </row>
    <row r="1425" spans="1:17">
      <c r="B1425" s="147" t="s">
        <v>1937</v>
      </c>
      <c r="C1425" s="148"/>
      <c r="D1425" s="1400"/>
      <c r="E1425" s="1400"/>
      <c r="F1425" s="1400"/>
      <c r="G1425" s="1400"/>
      <c r="H1425" s="1400"/>
      <c r="I1425" s="1400"/>
      <c r="J1425" s="1400"/>
      <c r="K1425" s="1400"/>
      <c r="L1425" s="1400"/>
      <c r="M1425" s="1400"/>
      <c r="N1425" s="1400"/>
      <c r="O1425" s="1400"/>
      <c r="P1425" s="1400"/>
    </row>
    <row r="1426" spans="1:17">
      <c r="A1426" s="1221">
        <f>'Part VIII-Threshold Criteria'!A341</f>
        <v>0</v>
      </c>
      <c r="B1426" s="1221"/>
      <c r="C1426" s="1221"/>
      <c r="D1426" s="1221"/>
      <c r="E1426" s="1221"/>
      <c r="F1426" s="1221"/>
      <c r="G1426" s="1221"/>
      <c r="H1426" s="1221"/>
      <c r="I1426" s="1221"/>
      <c r="J1426" s="1221"/>
      <c r="K1426" s="1221"/>
      <c r="L1426" s="1221"/>
      <c r="M1426" s="1221"/>
      <c r="N1426" s="1221"/>
      <c r="O1426" s="1221"/>
      <c r="P1426" s="1221"/>
      <c r="Q1426" s="1221"/>
    </row>
    <row r="1427" spans="1:17">
      <c r="A1427" s="2">
        <v>21</v>
      </c>
      <c r="B1427" s="10" t="s">
        <v>2761</v>
      </c>
      <c r="C1427" s="10"/>
      <c r="D1427" s="234"/>
      <c r="E1427" s="1400"/>
      <c r="F1427" s="1400"/>
      <c r="G1427" s="1400"/>
      <c r="H1427" s="1400"/>
      <c r="I1427" s="1400"/>
      <c r="J1427" s="1400"/>
      <c r="K1427" s="1400"/>
      <c r="L1427" s="1400"/>
      <c r="M1427" s="1400"/>
      <c r="O1427" s="142" t="s">
        <v>1938</v>
      </c>
      <c r="P1427" s="1159">
        <f>'Part VIII-Threshold Criteria'!P342</f>
        <v>0</v>
      </c>
      <c r="Q1427" s="1159"/>
    </row>
    <row r="1428" spans="1:17" ht="12.75" customHeight="1">
      <c r="B1428" s="1611" t="s">
        <v>2058</v>
      </c>
      <c r="C1428" s="1221" t="s">
        <v>4095</v>
      </c>
      <c r="D1428" s="1221"/>
      <c r="E1428" s="1221"/>
      <c r="F1428" s="1221"/>
      <c r="G1428" s="1221"/>
      <c r="H1428" s="1221"/>
      <c r="I1428" s="1221"/>
      <c r="J1428" s="1221"/>
      <c r="K1428" s="1221"/>
      <c r="L1428" s="1221"/>
      <c r="M1428" s="1221"/>
      <c r="N1428" s="1221"/>
      <c r="O1428" s="236" t="s">
        <v>2058</v>
      </c>
      <c r="P1428" s="1218" t="str">
        <f>'Part VIII-Threshold Criteria'!P343</f>
        <v>No</v>
      </c>
      <c r="Q1428" s="1218">
        <f>'Part VIII-Threshold Criteria'!Q343</f>
        <v>0</v>
      </c>
    </row>
    <row r="1429" spans="1:17" ht="12.75" customHeight="1">
      <c r="B1429" s="1611" t="s">
        <v>2061</v>
      </c>
      <c r="C1429" s="1221" t="s">
        <v>4096</v>
      </c>
      <c r="D1429" s="1221"/>
      <c r="E1429" s="1221"/>
      <c r="F1429" s="1221"/>
      <c r="G1429" s="1221"/>
      <c r="H1429" s="1221"/>
      <c r="I1429" s="1221"/>
      <c r="J1429" s="1221"/>
      <c r="K1429" s="1221"/>
      <c r="L1429" s="1221"/>
      <c r="M1429" s="1221"/>
      <c r="N1429" s="1221"/>
      <c r="O1429" s="236" t="s">
        <v>2061</v>
      </c>
      <c r="P1429" s="1218">
        <f>'Part VIII-Threshold Criteria'!P344</f>
        <v>0</v>
      </c>
      <c r="Q1429" s="1218">
        <f>'Part VIII-Threshold Criteria'!Q344</f>
        <v>0</v>
      </c>
    </row>
    <row r="1430" spans="1:17" ht="12.75" customHeight="1">
      <c r="B1430" s="1611" t="s">
        <v>779</v>
      </c>
      <c r="C1430" s="1221" t="s">
        <v>3737</v>
      </c>
      <c r="D1430" s="1221"/>
      <c r="E1430" s="1221"/>
      <c r="F1430" s="1221"/>
      <c r="G1430" s="1221"/>
      <c r="H1430" s="1221"/>
      <c r="I1430" s="1221"/>
      <c r="J1430" s="1221"/>
      <c r="K1430" s="1221"/>
      <c r="L1430" s="1221"/>
      <c r="M1430" s="1221"/>
      <c r="N1430" s="1221"/>
      <c r="O1430" s="236" t="s">
        <v>779</v>
      </c>
      <c r="P1430" s="1218" t="str">
        <f>'Part VIII-Threshold Criteria'!P345</f>
        <v>Yes</v>
      </c>
      <c r="Q1430" s="1218">
        <f>'Part VIII-Threshold Criteria'!Q345</f>
        <v>0</v>
      </c>
    </row>
    <row r="1431" spans="1:17">
      <c r="B1431" s="101" t="s">
        <v>1936</v>
      </c>
      <c r="D1431" s="101"/>
      <c r="E1431" s="101"/>
      <c r="F1431" s="101"/>
      <c r="G1431" s="101"/>
      <c r="H1431" s="1220"/>
      <c r="I1431" s="1407"/>
      <c r="J1431" s="1407"/>
      <c r="K1431" s="1407"/>
      <c r="L1431" s="1219"/>
      <c r="M1431" s="1219"/>
      <c r="N1431" s="1219"/>
      <c r="O1431" s="1219"/>
      <c r="P1431" s="1219"/>
      <c r="Q1431" s="1219"/>
    </row>
    <row r="1432" spans="1:17" ht="123.75">
      <c r="A1432" s="1221" t="str">
        <f>'Part VIII-Threshold Criteria'!A347</f>
        <v>All team performance workbooks and requisite documentation has been included in Tab 21.</v>
      </c>
      <c r="B1432" s="1221"/>
      <c r="C1432" s="1221"/>
      <c r="D1432" s="1221"/>
      <c r="E1432" s="1221"/>
      <c r="F1432" s="1221"/>
      <c r="G1432" s="1221"/>
      <c r="H1432" s="1221"/>
      <c r="I1432" s="1221"/>
      <c r="J1432" s="1221"/>
      <c r="K1432" s="1221"/>
      <c r="L1432" s="1221"/>
      <c r="M1432" s="1221"/>
      <c r="N1432" s="1221"/>
      <c r="O1432" s="1221"/>
      <c r="P1432" s="1221"/>
      <c r="Q1432" s="1221"/>
    </row>
    <row r="1433" spans="1:17">
      <c r="B1433" s="147" t="s">
        <v>1937</v>
      </c>
      <c r="C1433" s="148"/>
      <c r="D1433" s="1400"/>
      <c r="E1433" s="1400"/>
      <c r="F1433" s="1400"/>
      <c r="G1433" s="1400"/>
      <c r="H1433" s="1400"/>
      <c r="I1433" s="1400"/>
      <c r="J1433" s="1400"/>
      <c r="K1433" s="1400"/>
      <c r="L1433" s="1400"/>
      <c r="M1433" s="1400"/>
      <c r="N1433" s="1400"/>
      <c r="O1433" s="1400"/>
      <c r="P1433" s="1400"/>
    </row>
    <row r="1434" spans="1:17">
      <c r="A1434" s="1221">
        <f>'Part VIII-Threshold Criteria'!A349</f>
        <v>0</v>
      </c>
      <c r="B1434" s="1221"/>
      <c r="C1434" s="1221"/>
      <c r="D1434" s="1221"/>
      <c r="E1434" s="1221"/>
      <c r="F1434" s="1221"/>
      <c r="G1434" s="1221"/>
      <c r="H1434" s="1221"/>
      <c r="I1434" s="1221"/>
      <c r="J1434" s="1221"/>
      <c r="K1434" s="1221"/>
      <c r="L1434" s="1221"/>
      <c r="M1434" s="1221"/>
      <c r="N1434" s="1221"/>
      <c r="O1434" s="1221"/>
      <c r="P1434" s="1221"/>
      <c r="Q1434" s="1221"/>
    </row>
    <row r="1435" spans="1:17">
      <c r="A1435" s="1219"/>
      <c r="B1435" s="1407"/>
      <c r="C1435" s="1400"/>
      <c r="D1435" s="1400"/>
      <c r="E1435" s="1400"/>
      <c r="F1435" s="1400"/>
      <c r="G1435" s="1400"/>
      <c r="H1435" s="1400"/>
      <c r="I1435" s="1400"/>
      <c r="J1435" s="1400"/>
      <c r="K1435" s="1400"/>
      <c r="L1435" s="1400"/>
      <c r="M1435" s="1400"/>
      <c r="N1435" s="1400"/>
      <c r="O1435" s="1400"/>
      <c r="P1435" s="1400"/>
      <c r="Q1435" s="1219"/>
    </row>
    <row r="1436" spans="1:17">
      <c r="A1436" s="2">
        <v>22</v>
      </c>
      <c r="B1436" s="10" t="s">
        <v>2782</v>
      </c>
      <c r="C1436" s="10"/>
      <c r="D1436" s="10"/>
      <c r="E1436" s="10"/>
      <c r="F1436" s="10"/>
      <c r="G1436" s="10"/>
      <c r="H1436" s="1400"/>
      <c r="I1436" s="1400"/>
      <c r="J1436" s="1400"/>
      <c r="K1436" s="1400"/>
      <c r="L1436" s="1400"/>
      <c r="M1436" s="1400"/>
      <c r="O1436" s="142" t="s">
        <v>1938</v>
      </c>
      <c r="P1436" s="1159">
        <f>'Part VIII-Threshold Criteria'!P351</f>
        <v>0</v>
      </c>
      <c r="Q1436" s="1159"/>
    </row>
    <row r="1437" spans="1:17">
      <c r="B1437" s="67" t="s">
        <v>2058</v>
      </c>
      <c r="C1437" s="54" t="s">
        <v>2780</v>
      </c>
      <c r="D1437" s="1157"/>
      <c r="E1437" s="1157"/>
      <c r="F1437" s="1157"/>
      <c r="G1437" s="1157"/>
      <c r="H1437" s="1157"/>
      <c r="I1437" s="533"/>
      <c r="J1437" s="69" t="s">
        <v>2058</v>
      </c>
      <c r="K1437" s="234">
        <f>'Part VIII-Threshold Criteria'!K352</f>
        <v>0</v>
      </c>
      <c r="L1437" s="234"/>
      <c r="M1437" s="234"/>
      <c r="N1437" s="234"/>
      <c r="O1437" s="234"/>
      <c r="P1437" s="234"/>
      <c r="Q1437" s="1218">
        <f>'Part VIII-Threshold Criteria'!Q352</f>
        <v>0</v>
      </c>
    </row>
    <row r="1438" spans="1:17" ht="12.75" customHeight="1">
      <c r="B1438" s="1611" t="s">
        <v>2061</v>
      </c>
      <c r="C1438" s="144" t="s">
        <v>3891</v>
      </c>
      <c r="D1438" s="144"/>
      <c r="E1438" s="144"/>
      <c r="F1438" s="144"/>
      <c r="G1438" s="144"/>
      <c r="H1438" s="144"/>
      <c r="I1438" s="144"/>
      <c r="J1438" s="144"/>
      <c r="K1438" s="144"/>
      <c r="L1438" s="144"/>
      <c r="M1438" s="144"/>
      <c r="N1438" s="144"/>
      <c r="O1438" s="236" t="s">
        <v>2061</v>
      </c>
      <c r="P1438" s="1218">
        <f>'Part VIII-Threshold Criteria'!P353</f>
        <v>0</v>
      </c>
      <c r="Q1438" s="1218">
        <f>'Part VIII-Threshold Criteria'!Q353</f>
        <v>0</v>
      </c>
    </row>
    <row r="1439" spans="1:17" ht="12.75" customHeight="1">
      <c r="B1439" s="1611" t="s">
        <v>779</v>
      </c>
      <c r="C1439" s="1221" t="s">
        <v>3892</v>
      </c>
      <c r="D1439" s="1221"/>
      <c r="E1439" s="1221"/>
      <c r="F1439" s="1221"/>
      <c r="G1439" s="1221"/>
      <c r="H1439" s="1221"/>
      <c r="I1439" s="1221"/>
      <c r="J1439" s="1221"/>
      <c r="K1439" s="1221"/>
      <c r="L1439" s="1221"/>
      <c r="M1439" s="1221"/>
      <c r="N1439" s="1221"/>
      <c r="O1439" s="236" t="s">
        <v>779</v>
      </c>
      <c r="P1439" s="1218">
        <f>'Part VIII-Threshold Criteria'!P354</f>
        <v>0</v>
      </c>
      <c r="Q1439" s="1218">
        <f>'Part VIII-Threshold Criteria'!Q354</f>
        <v>0</v>
      </c>
    </row>
    <row r="1440" spans="1:17">
      <c r="B1440" s="67" t="s">
        <v>2193</v>
      </c>
      <c r="C1440" s="54" t="s">
        <v>2781</v>
      </c>
      <c r="D1440" s="54"/>
      <c r="E1440" s="54"/>
      <c r="F1440" s="54"/>
      <c r="G1440" s="54"/>
      <c r="H1440" s="54"/>
      <c r="I1440" s="54"/>
      <c r="J1440" s="54"/>
      <c r="K1440" s="54"/>
      <c r="L1440" s="54"/>
      <c r="M1440" s="54"/>
      <c r="O1440" s="69" t="s">
        <v>2193</v>
      </c>
      <c r="P1440" s="1218">
        <f>'Part VIII-Threshold Criteria'!P355</f>
        <v>0</v>
      </c>
      <c r="Q1440" s="1218">
        <f>'Part VIII-Threshold Criteria'!Q355</f>
        <v>0</v>
      </c>
    </row>
    <row r="1441" spans="1:17" ht="12.75" customHeight="1">
      <c r="A1441" s="532"/>
      <c r="B1441" s="1611" t="s">
        <v>1801</v>
      </c>
      <c r="C1441" s="1221" t="s">
        <v>3893</v>
      </c>
      <c r="D1441" s="1221"/>
      <c r="E1441" s="1221"/>
      <c r="F1441" s="1221"/>
      <c r="G1441" s="1221"/>
      <c r="H1441" s="1221"/>
      <c r="I1441" s="1221"/>
      <c r="J1441" s="1221"/>
      <c r="K1441" s="1221"/>
      <c r="L1441" s="1221"/>
      <c r="M1441" s="1221"/>
      <c r="N1441" s="1221"/>
      <c r="O1441" s="236" t="s">
        <v>1801</v>
      </c>
      <c r="P1441" s="1218">
        <f>'Part VIII-Threshold Criteria'!P356</f>
        <v>0</v>
      </c>
      <c r="Q1441" s="1218">
        <f>'Part VIII-Threshold Criteria'!Q356</f>
        <v>0</v>
      </c>
    </row>
    <row r="1442" spans="1:17" ht="12.75" customHeight="1">
      <c r="A1442" s="532"/>
      <c r="B1442" s="1611" t="s">
        <v>1802</v>
      </c>
      <c r="C1442" s="1221" t="s">
        <v>2783</v>
      </c>
      <c r="D1442" s="1221"/>
      <c r="E1442" s="1221"/>
      <c r="F1442" s="1221"/>
      <c r="G1442" s="1221"/>
      <c r="H1442" s="1221"/>
      <c r="I1442" s="1221"/>
      <c r="J1442" s="1221"/>
      <c r="K1442" s="1221"/>
      <c r="L1442" s="1221"/>
      <c r="M1442" s="1221"/>
      <c r="N1442" s="1221"/>
      <c r="O1442" s="236" t="s">
        <v>1802</v>
      </c>
      <c r="P1442" s="1218">
        <f>'Part VIII-Threshold Criteria'!P357</f>
        <v>0</v>
      </c>
      <c r="Q1442" s="1218">
        <f>'Part VIII-Threshold Criteria'!Q357</f>
        <v>0</v>
      </c>
    </row>
    <row r="1443" spans="1:17">
      <c r="A1443" s="532"/>
      <c r="B1443" s="1611"/>
      <c r="C1443" s="232" t="s">
        <v>1803</v>
      </c>
      <c r="D1443" s="1176" t="s">
        <v>3894</v>
      </c>
      <c r="E1443" s="1400"/>
      <c r="F1443" s="1400"/>
      <c r="G1443" s="1400"/>
      <c r="H1443" s="1400"/>
      <c r="I1443" s="1400"/>
      <c r="J1443" s="1400"/>
      <c r="K1443" s="1400"/>
      <c r="L1443" s="1400"/>
      <c r="M1443" s="1400"/>
      <c r="N1443" s="1400"/>
      <c r="O1443" s="236"/>
      <c r="P1443" s="1218">
        <f>'Part VIII-Threshold Criteria'!P358</f>
        <v>0</v>
      </c>
      <c r="Q1443" s="1218">
        <f>'Part VIII-Threshold Criteria'!Q358</f>
        <v>0</v>
      </c>
    </row>
    <row r="1444" spans="1:17" ht="12.75" customHeight="1">
      <c r="B1444" s="1611" t="s">
        <v>2021</v>
      </c>
      <c r="C1444" s="1221" t="s">
        <v>3895</v>
      </c>
      <c r="D1444" s="1221"/>
      <c r="E1444" s="1221"/>
      <c r="F1444" s="1221"/>
      <c r="G1444" s="1221"/>
      <c r="H1444" s="1221"/>
      <c r="I1444" s="1221"/>
      <c r="J1444" s="1221"/>
      <c r="K1444" s="1221"/>
      <c r="L1444" s="1221"/>
      <c r="M1444" s="1221"/>
      <c r="N1444" s="1221"/>
      <c r="O1444" s="236" t="s">
        <v>2021</v>
      </c>
      <c r="P1444" s="1218">
        <f>'Part VIII-Threshold Criteria'!P359</f>
        <v>0</v>
      </c>
      <c r="Q1444" s="1218">
        <f>'Part VIII-Threshold Criteria'!Q359</f>
        <v>0</v>
      </c>
    </row>
    <row r="1445" spans="1:17" ht="12.75" customHeight="1">
      <c r="B1445" s="1611" t="s">
        <v>3560</v>
      </c>
      <c r="C1445" s="1616" t="s">
        <v>3896</v>
      </c>
      <c r="D1445" s="1616"/>
      <c r="E1445" s="1616"/>
      <c r="F1445" s="1616"/>
      <c r="G1445" s="1616"/>
      <c r="H1445" s="1616"/>
      <c r="I1445" s="1616"/>
      <c r="J1445" s="1616"/>
      <c r="K1445" s="1616"/>
      <c r="L1445" s="1616"/>
      <c r="M1445" s="1616"/>
      <c r="N1445" s="1616"/>
      <c r="O1445" s="236" t="s">
        <v>3560</v>
      </c>
      <c r="P1445" s="1218">
        <f>'Part VIII-Threshold Criteria'!P360</f>
        <v>0</v>
      </c>
      <c r="Q1445" s="1218">
        <f>'Part VIII-Threshold Criteria'!Q360</f>
        <v>0</v>
      </c>
    </row>
    <row r="1446" spans="1:17">
      <c r="B1446" s="101" t="s">
        <v>1936</v>
      </c>
      <c r="D1446" s="101"/>
      <c r="E1446" s="101"/>
      <c r="F1446" s="101"/>
      <c r="G1446" s="101"/>
      <c r="H1446" s="1220"/>
      <c r="I1446" s="1407"/>
      <c r="J1446" s="1407"/>
      <c r="K1446" s="1407"/>
      <c r="L1446" s="1219"/>
      <c r="M1446" s="1219"/>
      <c r="N1446" s="1219"/>
      <c r="O1446" s="1219"/>
      <c r="P1446" s="1219"/>
      <c r="Q1446" s="1219"/>
    </row>
    <row r="1447" spans="1:17">
      <c r="A1447" s="1221">
        <f>'Part VIII-Threshold Criteria'!A362</f>
        <v>0</v>
      </c>
      <c r="B1447" s="1221"/>
      <c r="C1447" s="1221"/>
      <c r="D1447" s="1221"/>
      <c r="E1447" s="1221"/>
      <c r="F1447" s="1221"/>
      <c r="G1447" s="1221"/>
      <c r="H1447" s="1221"/>
      <c r="I1447" s="1221"/>
      <c r="J1447" s="1221"/>
      <c r="K1447" s="1221"/>
      <c r="L1447" s="1221"/>
      <c r="M1447" s="1221"/>
      <c r="N1447" s="1221"/>
      <c r="O1447" s="1221"/>
      <c r="P1447" s="1221"/>
      <c r="Q1447" s="1221"/>
    </row>
    <row r="1448" spans="1:17">
      <c r="B1448" s="147" t="s">
        <v>1937</v>
      </c>
      <c r="C1448" s="148"/>
      <c r="D1448" s="1400"/>
      <c r="E1448" s="1400"/>
      <c r="F1448" s="1400"/>
      <c r="G1448" s="1400"/>
      <c r="H1448" s="1400"/>
      <c r="I1448" s="1400"/>
      <c r="J1448" s="1400"/>
      <c r="K1448" s="1400"/>
      <c r="L1448" s="1400"/>
      <c r="M1448" s="1400"/>
      <c r="N1448" s="1400"/>
      <c r="O1448" s="1400"/>
      <c r="P1448" s="1400"/>
    </row>
    <row r="1449" spans="1:17">
      <c r="A1449" s="1221">
        <f>'Part VIII-Threshold Criteria'!A364</f>
        <v>0</v>
      </c>
      <c r="B1449" s="1221"/>
      <c r="C1449" s="1221"/>
      <c r="D1449" s="1221"/>
      <c r="E1449" s="1221"/>
      <c r="F1449" s="1221"/>
      <c r="G1449" s="1221"/>
      <c r="H1449" s="1221"/>
      <c r="I1449" s="1221"/>
      <c r="J1449" s="1221"/>
      <c r="K1449" s="1221"/>
      <c r="L1449" s="1221"/>
      <c r="M1449" s="1221"/>
      <c r="N1449" s="1221"/>
      <c r="O1449" s="1221"/>
      <c r="P1449" s="1221"/>
      <c r="Q1449" s="1221"/>
    </row>
    <row r="1450" spans="1:17">
      <c r="A1450" s="1219"/>
      <c r="B1450" s="1407"/>
      <c r="C1450" s="1400"/>
      <c r="D1450" s="1400"/>
      <c r="E1450" s="1400"/>
      <c r="F1450" s="1400"/>
      <c r="G1450" s="1400"/>
      <c r="H1450" s="1400"/>
      <c r="I1450" s="1400"/>
      <c r="J1450" s="1400"/>
      <c r="K1450" s="1400"/>
      <c r="L1450" s="1400"/>
      <c r="M1450" s="1400"/>
      <c r="Q1450" s="1219"/>
    </row>
    <row r="1451" spans="1:17">
      <c r="A1451" s="2">
        <v>23</v>
      </c>
      <c r="B1451" s="10" t="s">
        <v>2784</v>
      </c>
      <c r="C1451" s="10"/>
      <c r="D1451" s="10"/>
      <c r="E1451" s="10"/>
      <c r="F1451" s="10"/>
      <c r="G1451" s="10"/>
      <c r="H1451" s="1400"/>
      <c r="I1451" s="1400"/>
      <c r="J1451" s="1400"/>
      <c r="O1451" s="142" t="s">
        <v>1938</v>
      </c>
      <c r="P1451" s="1159">
        <f>'Part VIII-Threshold Criteria'!P366</f>
        <v>0</v>
      </c>
      <c r="Q1451" s="1159"/>
    </row>
    <row r="1452" spans="1:17">
      <c r="B1452" s="67" t="s">
        <v>2058</v>
      </c>
      <c r="C1452" s="54" t="s">
        <v>1071</v>
      </c>
      <c r="E1452" s="234">
        <f>'Part VIII-Threshold Criteria'!E367</f>
        <v>0</v>
      </c>
      <c r="F1452" s="234"/>
      <c r="G1452" s="234"/>
      <c r="H1452" s="234"/>
      <c r="I1452" s="234"/>
      <c r="J1452" s="54" t="s">
        <v>2765</v>
      </c>
      <c r="K1452" s="54"/>
      <c r="L1452" s="54"/>
      <c r="M1452" s="234">
        <f>'Part VIII-Threshold Criteria'!M367</f>
        <v>0</v>
      </c>
      <c r="N1452" s="234"/>
      <c r="O1452" s="234"/>
      <c r="P1452" s="234"/>
      <c r="Q1452" s="234"/>
    </row>
    <row r="1453" spans="1:17">
      <c r="B1453" s="67" t="s">
        <v>2061</v>
      </c>
      <c r="C1453" s="54" t="s">
        <v>3721</v>
      </c>
      <c r="D1453" s="54"/>
      <c r="E1453" s="54"/>
      <c r="F1453" s="54"/>
      <c r="G1453" s="54"/>
      <c r="H1453" s="54"/>
      <c r="I1453" s="54"/>
      <c r="J1453" s="54"/>
      <c r="K1453" s="54"/>
      <c r="L1453" s="1220"/>
      <c r="M1453" s="1220"/>
      <c r="O1453" s="69" t="s">
        <v>2061</v>
      </c>
      <c r="P1453" s="1218">
        <f>'Part VIII-Threshold Criteria'!P368</f>
        <v>0</v>
      </c>
      <c r="Q1453" s="1218">
        <f>'Part VIII-Threshold Criteria'!Q368</f>
        <v>0</v>
      </c>
    </row>
    <row r="1454" spans="1:17" ht="12.75" customHeight="1">
      <c r="B1454" s="1611" t="s">
        <v>779</v>
      </c>
      <c r="C1454" s="144" t="s">
        <v>3738</v>
      </c>
      <c r="D1454" s="144"/>
      <c r="E1454" s="144"/>
      <c r="F1454" s="144"/>
      <c r="G1454" s="144"/>
      <c r="H1454" s="144"/>
      <c r="I1454" s="144"/>
      <c r="J1454" s="144"/>
      <c r="K1454" s="144"/>
      <c r="L1454" s="144"/>
      <c r="M1454" s="144"/>
      <c r="N1454" s="144"/>
      <c r="O1454" s="69" t="s">
        <v>779</v>
      </c>
      <c r="P1454" s="1218">
        <f>'Part VIII-Threshold Criteria'!P369</f>
        <v>0</v>
      </c>
      <c r="Q1454" s="1218">
        <f>'Part VIII-Threshold Criteria'!Q369</f>
        <v>0</v>
      </c>
    </row>
    <row r="1455" spans="1:17">
      <c r="B1455" s="67" t="s">
        <v>2193</v>
      </c>
      <c r="C1455" s="467" t="s">
        <v>4156</v>
      </c>
      <c r="G1455" s="1403"/>
      <c r="H1455" s="1403"/>
      <c r="I1455" s="1403"/>
      <c r="J1455" s="1220" t="s">
        <v>4157</v>
      </c>
      <c r="L1455" s="1403"/>
      <c r="M1455" s="1651">
        <f>'Part III-Sources of Funds'!E1009</f>
        <v>0</v>
      </c>
      <c r="N1455" s="1651"/>
      <c r="O1455" s="69" t="s">
        <v>2193</v>
      </c>
      <c r="P1455" s="1218">
        <f>'Part VIII-Threshold Criteria'!P370</f>
        <v>0</v>
      </c>
      <c r="Q1455" s="1218">
        <f>'Part VIII-Threshold Criteria'!Q370</f>
        <v>0</v>
      </c>
    </row>
    <row r="1456" spans="1:17">
      <c r="B1456" s="101" t="s">
        <v>1936</v>
      </c>
      <c r="D1456" s="101"/>
      <c r="E1456" s="101"/>
      <c r="F1456" s="101"/>
      <c r="G1456" s="101"/>
      <c r="H1456" s="1220"/>
      <c r="I1456" s="1407"/>
      <c r="J1456" s="1407"/>
      <c r="K1456" s="1407"/>
      <c r="L1456" s="1219"/>
      <c r="M1456" s="1219"/>
      <c r="N1456" s="1219"/>
      <c r="O1456" s="1219"/>
      <c r="P1456" s="1219"/>
      <c r="Q1456" s="1219"/>
    </row>
    <row r="1457" spans="1:17">
      <c r="A1457" s="1221">
        <f>'Part VIII-Threshold Criteria'!A372</f>
        <v>0</v>
      </c>
      <c r="B1457" s="1221"/>
      <c r="C1457" s="1221"/>
      <c r="D1457" s="1221"/>
      <c r="E1457" s="1221"/>
      <c r="F1457" s="1221"/>
      <c r="G1457" s="1221"/>
      <c r="H1457" s="1221"/>
      <c r="I1457" s="1221"/>
      <c r="J1457" s="1221"/>
      <c r="K1457" s="1221"/>
      <c r="L1457" s="1221"/>
      <c r="M1457" s="1221"/>
      <c r="N1457" s="1221"/>
      <c r="O1457" s="1221"/>
      <c r="P1457" s="1221"/>
      <c r="Q1457" s="1221"/>
    </row>
    <row r="1458" spans="1:17">
      <c r="B1458" s="147" t="s">
        <v>1937</v>
      </c>
      <c r="C1458" s="148"/>
      <c r="D1458" s="1400"/>
      <c r="E1458" s="1400"/>
      <c r="F1458" s="1400"/>
      <c r="G1458" s="1400"/>
      <c r="H1458" s="1400"/>
      <c r="I1458" s="1400"/>
      <c r="J1458" s="1400"/>
      <c r="K1458" s="1400"/>
      <c r="L1458" s="1400"/>
      <c r="M1458" s="1400"/>
      <c r="N1458" s="1400"/>
      <c r="O1458" s="1400"/>
      <c r="P1458" s="1400"/>
    </row>
    <row r="1459" spans="1:17">
      <c r="A1459" s="1221">
        <f>'Part VIII-Threshold Criteria'!A374</f>
        <v>0</v>
      </c>
      <c r="B1459" s="1221"/>
      <c r="C1459" s="1221"/>
      <c r="D1459" s="1221"/>
      <c r="E1459" s="1221"/>
      <c r="F1459" s="1221"/>
      <c r="G1459" s="1221"/>
      <c r="H1459" s="1221"/>
      <c r="I1459" s="1221"/>
      <c r="J1459" s="1221"/>
      <c r="K1459" s="1221"/>
      <c r="L1459" s="1221"/>
      <c r="M1459" s="1221"/>
      <c r="N1459" s="1221"/>
      <c r="O1459" s="1221"/>
      <c r="P1459" s="1221"/>
      <c r="Q1459" s="1221"/>
    </row>
    <row r="1460" spans="1:17">
      <c r="A1460" s="1219"/>
      <c r="B1460" s="1407"/>
      <c r="C1460" s="1400"/>
      <c r="D1460" s="1400"/>
      <c r="E1460" s="1400"/>
      <c r="F1460" s="1400"/>
      <c r="G1460" s="1400"/>
      <c r="H1460" s="1400"/>
      <c r="I1460" s="1400"/>
      <c r="J1460" s="1400"/>
      <c r="K1460" s="1400"/>
      <c r="L1460" s="1400"/>
      <c r="M1460" s="1400"/>
      <c r="Q1460" s="1219"/>
    </row>
    <row r="1461" spans="1:17">
      <c r="A1461" s="2">
        <v>24</v>
      </c>
      <c r="B1461" s="10" t="s">
        <v>2762</v>
      </c>
      <c r="C1461" s="10"/>
      <c r="D1461" s="10"/>
      <c r="E1461" s="1400"/>
      <c r="G1461" s="150" t="s">
        <v>729</v>
      </c>
      <c r="H1461" s="1400"/>
      <c r="I1461" s="1400"/>
      <c r="J1461" s="1400"/>
      <c r="K1461" s="1400"/>
      <c r="L1461" s="1400"/>
      <c r="M1461" s="1400"/>
      <c r="O1461" s="142" t="s">
        <v>1938</v>
      </c>
      <c r="P1461" s="1159">
        <f>'Part VIII-Threshold Criteria'!P376</f>
        <v>0</v>
      </c>
      <c r="Q1461" s="1159"/>
    </row>
    <row r="1462" spans="1:17">
      <c r="A1462" s="781"/>
      <c r="B1462" s="67" t="s">
        <v>2058</v>
      </c>
      <c r="C1462" s="54" t="s">
        <v>2767</v>
      </c>
      <c r="D1462" s="1221"/>
      <c r="E1462" s="1221"/>
      <c r="H1462" s="150"/>
      <c r="O1462" s="69" t="s">
        <v>2058</v>
      </c>
      <c r="P1462" s="1218" t="str">
        <f>'Part VIII-Threshold Criteria'!P377</f>
        <v>Yes</v>
      </c>
      <c r="Q1462" s="1218">
        <f>'Part VIII-Threshold Criteria'!Q377</f>
        <v>0</v>
      </c>
    </row>
    <row r="1463" spans="1:17">
      <c r="A1463" s="781"/>
      <c r="B1463" s="67" t="s">
        <v>2061</v>
      </c>
      <c r="C1463" s="54" t="s">
        <v>3897</v>
      </c>
      <c r="D1463" s="1221"/>
      <c r="E1463" s="1221"/>
      <c r="O1463" s="69" t="s">
        <v>2061</v>
      </c>
      <c r="P1463" s="1218" t="str">
        <f>'Part VIII-Threshold Criteria'!P378</f>
        <v>No</v>
      </c>
      <c r="Q1463" s="1218">
        <f>'Part VIII-Threshold Criteria'!Q378</f>
        <v>0</v>
      </c>
    </row>
    <row r="1464" spans="1:17">
      <c r="A1464" s="781"/>
      <c r="B1464" s="67" t="s">
        <v>779</v>
      </c>
      <c r="C1464" s="54" t="s">
        <v>3898</v>
      </c>
      <c r="D1464" s="1221"/>
      <c r="E1464" s="1221"/>
      <c r="O1464" s="69" t="s">
        <v>779</v>
      </c>
      <c r="P1464" s="1218" t="str">
        <f>'Part VIII-Threshold Criteria'!P379</f>
        <v>No</v>
      </c>
      <c r="Q1464" s="1218">
        <f>'Part VIII-Threshold Criteria'!Q379</f>
        <v>0</v>
      </c>
    </row>
    <row r="1465" spans="1:17">
      <c r="A1465" s="781"/>
      <c r="B1465" s="67" t="s">
        <v>2193</v>
      </c>
      <c r="C1465" s="54" t="s">
        <v>3899</v>
      </c>
      <c r="E1465" s="150"/>
      <c r="O1465" s="69" t="s">
        <v>2193</v>
      </c>
      <c r="P1465" s="1218" t="str">
        <f>'Part VIII-Threshold Criteria'!P380</f>
        <v>No</v>
      </c>
      <c r="Q1465" s="1218">
        <f>'Part VIII-Threshold Criteria'!Q380</f>
        <v>0</v>
      </c>
    </row>
    <row r="1466" spans="1:17">
      <c r="B1466" s="67" t="s">
        <v>1801</v>
      </c>
      <c r="C1466" s="54" t="s">
        <v>2157</v>
      </c>
      <c r="E1466" s="150"/>
      <c r="G1466" s="69" t="s">
        <v>1801</v>
      </c>
      <c r="H1466" s="144">
        <f>'Part VIII-Threshold Criteria'!H381</f>
        <v>0</v>
      </c>
      <c r="I1466" s="144"/>
      <c r="J1466" s="144"/>
      <c r="K1466" s="144"/>
      <c r="L1466" s="144"/>
      <c r="M1466" s="144"/>
      <c r="N1466" s="144"/>
      <c r="O1466" s="144"/>
      <c r="P1466" s="1218">
        <f>'Part VIII-Threshold Criteria'!P381</f>
        <v>0</v>
      </c>
      <c r="Q1466" s="1218">
        <f>'Part VIII-Threshold Criteria'!Q381</f>
        <v>0</v>
      </c>
    </row>
    <row r="1467" spans="1:17">
      <c r="B1467" s="101" t="s">
        <v>1936</v>
      </c>
      <c r="D1467" s="101"/>
      <c r="E1467" s="101"/>
      <c r="F1467" s="101"/>
      <c r="G1467" s="101"/>
      <c r="H1467" s="1220"/>
      <c r="I1467" s="1407"/>
      <c r="J1467" s="1407"/>
      <c r="K1467" s="1407"/>
      <c r="L1467" s="1219"/>
      <c r="M1467" s="1219"/>
      <c r="N1467" s="1219"/>
      <c r="O1467" s="1219"/>
      <c r="P1467" s="1219"/>
      <c r="Q1467" s="1219"/>
    </row>
    <row r="1468" spans="1:17" ht="101.25">
      <c r="A1468" s="1221" t="str">
        <f>'Part VIII-Threshold Criteria'!A383</f>
        <v>Per DCA's requirement, an acquisition opinion letter has been included in Tab 24.</v>
      </c>
      <c r="B1468" s="1221"/>
      <c r="C1468" s="1221"/>
      <c r="D1468" s="1221"/>
      <c r="E1468" s="1221"/>
      <c r="F1468" s="1221"/>
      <c r="G1468" s="1221"/>
      <c r="H1468" s="1221"/>
      <c r="I1468" s="1221"/>
      <c r="J1468" s="1221"/>
      <c r="K1468" s="1221"/>
      <c r="L1468" s="1221"/>
      <c r="M1468" s="1221"/>
      <c r="N1468" s="1221"/>
      <c r="O1468" s="1221"/>
      <c r="P1468" s="1221"/>
      <c r="Q1468" s="1221"/>
    </row>
    <row r="1469" spans="1:17">
      <c r="B1469" s="147" t="s">
        <v>1937</v>
      </c>
      <c r="C1469" s="148"/>
      <c r="D1469" s="1400"/>
      <c r="E1469" s="1400"/>
      <c r="F1469" s="1400"/>
      <c r="G1469" s="1400"/>
      <c r="H1469" s="1400"/>
      <c r="I1469" s="1400"/>
      <c r="J1469" s="1400"/>
      <c r="K1469" s="1400"/>
      <c r="L1469" s="1400"/>
      <c r="M1469" s="1400"/>
      <c r="N1469" s="1400"/>
      <c r="O1469" s="1400"/>
      <c r="P1469" s="1400"/>
    </row>
    <row r="1470" spans="1:17">
      <c r="A1470" s="1221">
        <f>'Part VIII-Threshold Criteria'!A385</f>
        <v>0</v>
      </c>
      <c r="B1470" s="1221"/>
      <c r="C1470" s="1221"/>
      <c r="D1470" s="1221"/>
      <c r="E1470" s="1221"/>
      <c r="F1470" s="1221"/>
      <c r="G1470" s="1221"/>
      <c r="H1470" s="1221"/>
      <c r="I1470" s="1221"/>
      <c r="J1470" s="1221"/>
      <c r="K1470" s="1221"/>
      <c r="L1470" s="1221"/>
      <c r="M1470" s="1221"/>
      <c r="N1470" s="1221"/>
      <c r="O1470" s="1221"/>
      <c r="P1470" s="1221"/>
      <c r="Q1470" s="1221"/>
    </row>
    <row r="1471" spans="1:17">
      <c r="A1471" s="1219"/>
      <c r="B1471" s="1407"/>
      <c r="C1471" s="1400"/>
      <c r="D1471" s="1400"/>
      <c r="E1471" s="1400"/>
      <c r="F1471" s="1400"/>
      <c r="G1471" s="1400"/>
      <c r="H1471" s="1400"/>
      <c r="I1471" s="1400"/>
      <c r="J1471" s="1400"/>
      <c r="K1471" s="1400"/>
      <c r="L1471" s="1400"/>
      <c r="M1471" s="1400"/>
      <c r="N1471" s="1400"/>
      <c r="O1471" s="1400"/>
      <c r="P1471" s="1400"/>
      <c r="Q1471" s="1219"/>
    </row>
    <row r="1472" spans="1:17">
      <c r="A1472" s="2">
        <v>25</v>
      </c>
      <c r="B1472" s="10" t="s">
        <v>2763</v>
      </c>
      <c r="C1472" s="10"/>
      <c r="D1472" s="10"/>
      <c r="E1472" s="10"/>
      <c r="F1472" s="10"/>
      <c r="G1472" s="10"/>
      <c r="H1472" s="1400"/>
      <c r="I1472" s="1400"/>
      <c r="J1472" s="1400"/>
      <c r="K1472" s="1400"/>
      <c r="L1472" s="1400"/>
      <c r="M1472" s="1400"/>
      <c r="O1472" s="142" t="s">
        <v>1938</v>
      </c>
      <c r="P1472" s="1159">
        <f>'Part VIII-Threshold Criteria'!P387</f>
        <v>0</v>
      </c>
      <c r="Q1472" s="1159"/>
    </row>
    <row r="1473" spans="1:17">
      <c r="A1473" s="533"/>
      <c r="B1473" s="67" t="s">
        <v>2058</v>
      </c>
      <c r="C1473" s="54" t="s">
        <v>782</v>
      </c>
      <c r="D1473" s="533"/>
      <c r="E1473" s="533"/>
      <c r="F1473" s="533"/>
      <c r="G1473" s="533"/>
      <c r="H1473" s="533"/>
      <c r="I1473" s="533"/>
      <c r="J1473" s="533"/>
      <c r="K1473" s="533"/>
      <c r="L1473" s="533"/>
      <c r="M1473" s="533"/>
      <c r="N1473" s="533"/>
      <c r="O1473" s="69" t="s">
        <v>2058</v>
      </c>
      <c r="P1473" s="1218" t="str">
        <f>'Part VIII-Threshold Criteria'!P388</f>
        <v>Yes</v>
      </c>
      <c r="Q1473" s="1218">
        <f>'Part VIII-Threshold Criteria'!Q388</f>
        <v>0</v>
      </c>
    </row>
    <row r="1474" spans="1:17">
      <c r="A1474" s="533"/>
      <c r="B1474" s="67" t="s">
        <v>2061</v>
      </c>
      <c r="C1474" s="54" t="s">
        <v>3742</v>
      </c>
      <c r="D1474" s="533"/>
      <c r="E1474" s="533"/>
      <c r="F1474" s="533"/>
      <c r="G1474" s="533"/>
      <c r="H1474" s="533"/>
      <c r="I1474" s="533"/>
      <c r="J1474" s="533"/>
      <c r="K1474" s="533"/>
      <c r="L1474" s="533"/>
      <c r="M1474" s="533"/>
      <c r="N1474" s="533"/>
      <c r="O1474" s="69" t="s">
        <v>1502</v>
      </c>
      <c r="P1474" s="1218" t="str">
        <f>'Part VIII-Threshold Criteria'!P389</f>
        <v>Yes</v>
      </c>
      <c r="Q1474" s="1218">
        <f>'Part VIII-Threshold Criteria'!Q389</f>
        <v>0</v>
      </c>
    </row>
    <row r="1475" spans="1:17">
      <c r="A1475" s="533"/>
      <c r="B1475" s="67"/>
      <c r="C1475" s="54" t="s">
        <v>1540</v>
      </c>
      <c r="D1475" s="54"/>
      <c r="E1475" s="54"/>
      <c r="F1475" s="54"/>
      <c r="G1475" s="54"/>
      <c r="H1475" s="54"/>
      <c r="I1475" s="54"/>
      <c r="J1475" s="54"/>
      <c r="K1475" s="54"/>
      <c r="L1475" s="54"/>
      <c r="M1475" s="54"/>
      <c r="N1475" s="533"/>
    </row>
    <row r="1476" spans="1:17">
      <c r="A1476" s="533"/>
      <c r="B1476" s="67"/>
      <c r="C1476" s="54" t="s">
        <v>1804</v>
      </c>
      <c r="D1476" s="54" t="s">
        <v>3739</v>
      </c>
      <c r="E1476" s="54"/>
      <c r="F1476" s="54"/>
      <c r="G1476" s="54"/>
      <c r="H1476" s="54"/>
      <c r="I1476" s="54"/>
      <c r="J1476" s="54"/>
      <c r="K1476" s="54"/>
      <c r="L1476" s="54"/>
      <c r="M1476" s="54"/>
      <c r="N1476" s="533"/>
      <c r="O1476" s="69" t="s">
        <v>1804</v>
      </c>
      <c r="P1476" s="1218" t="str">
        <f>'Part VIII-Threshold Criteria'!P391</f>
        <v>No</v>
      </c>
      <c r="Q1476" s="1218">
        <f>'Part VIII-Threshold Criteria'!Q391</f>
        <v>0</v>
      </c>
    </row>
    <row r="1477" spans="1:17">
      <c r="A1477" s="533"/>
      <c r="B1477" s="67"/>
      <c r="C1477" s="54" t="s">
        <v>3858</v>
      </c>
      <c r="D1477" s="54" t="s">
        <v>3859</v>
      </c>
      <c r="E1477" s="54"/>
      <c r="F1477" s="54"/>
      <c r="G1477" s="54"/>
      <c r="H1477" s="54"/>
      <c r="I1477" s="54"/>
      <c r="J1477" s="54"/>
      <c r="K1477" s="54"/>
      <c r="L1477" s="54"/>
      <c r="M1477" s="54"/>
      <c r="N1477" s="533"/>
      <c r="O1477" s="69" t="s">
        <v>1805</v>
      </c>
      <c r="P1477" s="1218" t="str">
        <f>'Part VIII-Threshold Criteria'!P392</f>
        <v>Yes</v>
      </c>
      <c r="Q1477" s="1218">
        <f>'Part VIII-Threshold Criteria'!Q392</f>
        <v>0</v>
      </c>
    </row>
    <row r="1478" spans="1:17" ht="12.75" customHeight="1">
      <c r="A1478" s="533"/>
      <c r="B1478" s="67" t="s">
        <v>779</v>
      </c>
      <c r="C1478" s="144" t="s">
        <v>2280</v>
      </c>
      <c r="D1478" s="144"/>
      <c r="E1478" s="144"/>
      <c r="F1478" s="144"/>
      <c r="G1478" s="144"/>
      <c r="H1478" s="144"/>
      <c r="I1478" s="144"/>
      <c r="J1478" s="144"/>
      <c r="K1478" s="144"/>
      <c r="L1478" s="144"/>
      <c r="M1478" s="144"/>
      <c r="N1478" s="144"/>
      <c r="O1478" s="69" t="s">
        <v>779</v>
      </c>
      <c r="P1478" s="1218" t="str">
        <f>'Part VIII-Threshold Criteria'!P393</f>
        <v>Yes</v>
      </c>
      <c r="Q1478" s="1218">
        <f>'Part VIII-Threshold Criteria'!Q393</f>
        <v>0</v>
      </c>
    </row>
    <row r="1479" spans="1:17">
      <c r="A1479" s="533"/>
      <c r="B1479" s="67" t="s">
        <v>2193</v>
      </c>
      <c r="C1479" s="1220" t="s">
        <v>2939</v>
      </c>
      <c r="D1479" s="1220"/>
      <c r="E1479" s="1220"/>
      <c r="F1479" s="1220"/>
      <c r="G1479" s="1220"/>
      <c r="H1479" s="1220"/>
      <c r="I1479" s="1220"/>
      <c r="J1479" s="1220"/>
      <c r="K1479" s="1220"/>
      <c r="L1479" s="1220"/>
      <c r="M1479" s="1220"/>
      <c r="N1479" s="533"/>
      <c r="O1479" s="69"/>
      <c r="P1479" s="533"/>
      <c r="Q1479" s="533"/>
    </row>
    <row r="1480" spans="1:17">
      <c r="A1480" s="533"/>
      <c r="B1480" s="67"/>
      <c r="C1480" s="54" t="s">
        <v>2281</v>
      </c>
      <c r="D1480" s="54"/>
      <c r="E1480" s="533"/>
      <c r="F1480" s="1220"/>
      <c r="G1480" s="1219">
        <f>'Part VIII-Threshold Criteria'!G395</f>
        <v>0</v>
      </c>
      <c r="H1480" s="1406">
        <f>'Part VIII-Threshold Criteria'!H395</f>
        <v>0</v>
      </c>
      <c r="J1480" s="54" t="s">
        <v>2284</v>
      </c>
      <c r="K1480" s="1220"/>
      <c r="N1480" s="1219">
        <f>'Part VIII-Threshold Criteria'!N395</f>
        <v>2</v>
      </c>
      <c r="O1480" s="1406">
        <f>'Part VIII-Threshold Criteria'!O395</f>
        <v>0</v>
      </c>
    </row>
    <row r="1481" spans="1:17">
      <c r="A1481" s="533"/>
      <c r="B1481" s="67"/>
      <c r="C1481" s="54" t="s">
        <v>2282</v>
      </c>
      <c r="D1481" s="54"/>
      <c r="E1481" s="533"/>
      <c r="F1481" s="1220"/>
      <c r="G1481" s="1219">
        <f>'Part VIII-Threshold Criteria'!G396</f>
        <v>0</v>
      </c>
      <c r="H1481" s="1406">
        <f>'Part VIII-Threshold Criteria'!H396</f>
        <v>0</v>
      </c>
      <c r="J1481" s="54" t="s">
        <v>2285</v>
      </c>
      <c r="K1481" s="1220"/>
      <c r="N1481" s="1219">
        <f>'Part VIII-Threshold Criteria'!N396</f>
        <v>10</v>
      </c>
      <c r="O1481" s="1406">
        <f>'Part VIII-Threshold Criteria'!O396</f>
        <v>0</v>
      </c>
    </row>
    <row r="1482" spans="1:17">
      <c r="A1482" s="533"/>
      <c r="B1482" s="67"/>
      <c r="C1482" s="54" t="s">
        <v>2283</v>
      </c>
      <c r="D1482" s="54"/>
      <c r="E1482" s="533"/>
      <c r="F1482" s="1220"/>
      <c r="G1482" s="1219">
        <f>'Part VIII-Threshold Criteria'!G397</f>
        <v>107</v>
      </c>
      <c r="H1482" s="1406">
        <f>'Part VIII-Threshold Criteria'!H397</f>
        <v>0</v>
      </c>
      <c r="K1482" s="1220"/>
      <c r="L1482" s="1220"/>
      <c r="M1482" s="1220"/>
      <c r="N1482" s="533"/>
      <c r="O1482" s="69"/>
    </row>
    <row r="1483" spans="1:17">
      <c r="A1483" s="533"/>
      <c r="B1483" s="67" t="s">
        <v>1801</v>
      </c>
      <c r="C1483" s="1220" t="s">
        <v>2470</v>
      </c>
      <c r="D1483" s="1220"/>
      <c r="E1483" s="1220"/>
      <c r="F1483" s="1220"/>
      <c r="G1483" s="1220"/>
      <c r="J1483" s="533"/>
      <c r="K1483" s="1220"/>
      <c r="L1483" s="1220"/>
      <c r="M1483" s="1220"/>
      <c r="N1483" s="533"/>
      <c r="O1483" s="69"/>
      <c r="P1483" s="69"/>
      <c r="Q1483" s="69"/>
    </row>
    <row r="1484" spans="1:17">
      <c r="A1484" s="533"/>
      <c r="B1484" s="67"/>
      <c r="C1484" s="467" t="s">
        <v>2286</v>
      </c>
      <c r="D1484" s="1220"/>
      <c r="E1484" s="1220"/>
      <c r="F1484" s="1220"/>
      <c r="G1484" s="1218" t="str">
        <f>'Part VIII-Threshold Criteria'!G399</f>
        <v>Yes</v>
      </c>
      <c r="H1484" s="1218">
        <f>'Part VIII-Threshold Criteria'!H399</f>
        <v>0</v>
      </c>
      <c r="J1484" s="467" t="s">
        <v>1225</v>
      </c>
      <c r="K1484" s="1220"/>
      <c r="N1484" s="1218" t="str">
        <f>'Part VIII-Threshold Criteria'!N399</f>
        <v>Yes</v>
      </c>
      <c r="O1484" s="1218">
        <f>'Part VIII-Threshold Criteria'!O399</f>
        <v>0</v>
      </c>
    </row>
    <row r="1485" spans="1:17">
      <c r="A1485" s="533"/>
      <c r="B1485" s="67"/>
      <c r="C1485" s="467" t="s">
        <v>1224</v>
      </c>
      <c r="D1485" s="1220"/>
      <c r="E1485" s="1220"/>
      <c r="F1485" s="1220"/>
      <c r="G1485" s="1218" t="str">
        <f>'Part VIII-Threshold Criteria'!G400</f>
        <v>Yes</v>
      </c>
      <c r="H1485" s="1218">
        <f>'Part VIII-Threshold Criteria'!H400</f>
        <v>0</v>
      </c>
      <c r="J1485" s="467" t="s">
        <v>2333</v>
      </c>
      <c r="N1485" s="93">
        <f>'Part VIII-Threshold Criteria'!N400</f>
        <v>0</v>
      </c>
      <c r="O1485" s="93"/>
      <c r="P1485" s="93"/>
      <c r="Q1485" s="93"/>
    </row>
    <row r="1486" spans="1:17">
      <c r="B1486" s="101" t="s">
        <v>1936</v>
      </c>
      <c r="D1486" s="101"/>
      <c r="E1486" s="101"/>
      <c r="F1486" s="101"/>
      <c r="G1486" s="101"/>
      <c r="H1486" s="1220"/>
      <c r="I1486" s="1407"/>
      <c r="J1486" s="1407"/>
      <c r="K1486" s="1407"/>
      <c r="P1486" s="1219"/>
      <c r="Q1486" s="1219"/>
    </row>
    <row r="1487" spans="1:17" ht="236.25">
      <c r="A1487" s="1221" t="str">
        <f>'Part VIII-Threshold Criteria'!A402</f>
        <v>The Beniot Group owns another subsidized development two blocks from Wheat Street Tower. The ten displaced residents will be offered comparable housing in this development.</v>
      </c>
      <c r="B1487" s="1221"/>
      <c r="C1487" s="1221"/>
      <c r="D1487" s="1221"/>
      <c r="E1487" s="1221"/>
      <c r="F1487" s="1221"/>
      <c r="G1487" s="1221"/>
      <c r="H1487" s="1221"/>
      <c r="I1487" s="1221"/>
      <c r="J1487" s="1221"/>
      <c r="K1487" s="1221"/>
      <c r="L1487" s="1221"/>
      <c r="M1487" s="1221"/>
      <c r="N1487" s="1221"/>
      <c r="O1487" s="1221"/>
      <c r="P1487" s="1221"/>
      <c r="Q1487" s="1221"/>
    </row>
    <row r="1488" spans="1:17">
      <c r="B1488" s="147" t="s">
        <v>1937</v>
      </c>
      <c r="C1488" s="148"/>
      <c r="D1488" s="1400"/>
      <c r="E1488" s="1400"/>
      <c r="F1488" s="1400"/>
      <c r="G1488" s="1400"/>
      <c r="H1488" s="1400"/>
      <c r="I1488" s="1400"/>
      <c r="J1488" s="1400"/>
      <c r="K1488" s="1400"/>
      <c r="L1488" s="1400"/>
      <c r="M1488" s="1400"/>
      <c r="N1488" s="1400"/>
      <c r="O1488" s="1400"/>
      <c r="P1488" s="1400"/>
    </row>
    <row r="1489" spans="1:17">
      <c r="A1489" s="1221">
        <f>'Part VIII-Threshold Criteria'!A404</f>
        <v>0</v>
      </c>
      <c r="B1489" s="1221"/>
      <c r="C1489" s="1221"/>
      <c r="D1489" s="1221"/>
      <c r="E1489" s="1221"/>
      <c r="F1489" s="1221"/>
      <c r="G1489" s="1221"/>
      <c r="H1489" s="1221"/>
      <c r="I1489" s="1221"/>
      <c r="J1489" s="1221"/>
      <c r="K1489" s="1221"/>
      <c r="L1489" s="1221"/>
      <c r="M1489" s="1221"/>
      <c r="N1489" s="1221"/>
      <c r="O1489" s="1221"/>
      <c r="P1489" s="1221"/>
      <c r="Q1489" s="1221"/>
    </row>
    <row r="1490" spans="1:17">
      <c r="A1490" s="1219"/>
      <c r="B1490" s="1407"/>
      <c r="C1490" s="1400"/>
      <c r="D1490" s="1400"/>
      <c r="E1490" s="1400"/>
      <c r="F1490" s="1400"/>
      <c r="G1490" s="1400"/>
      <c r="H1490" s="1400"/>
      <c r="I1490" s="1400"/>
      <c r="J1490" s="1400"/>
      <c r="K1490" s="1400"/>
      <c r="L1490" s="1400"/>
      <c r="M1490" s="1400"/>
      <c r="Q1490" s="1219"/>
    </row>
    <row r="1491" spans="1:17">
      <c r="A1491" s="2">
        <v>26</v>
      </c>
      <c r="B1491" s="10" t="s">
        <v>2940</v>
      </c>
      <c r="C1491" s="10"/>
      <c r="D1491" s="234"/>
      <c r="E1491" s="1400"/>
      <c r="F1491" s="1400"/>
      <c r="G1491" s="1400"/>
      <c r="H1491" s="1400"/>
      <c r="O1491" s="142" t="s">
        <v>1938</v>
      </c>
      <c r="P1491" s="1159">
        <f>'Part VIII-Threshold Criteria'!P406</f>
        <v>0</v>
      </c>
      <c r="Q1491" s="1159"/>
    </row>
    <row r="1492" spans="1:17">
      <c r="A1492" s="2"/>
      <c r="B1492" s="234" t="s">
        <v>3562</v>
      </c>
      <c r="C1492" s="10"/>
      <c r="D1492" s="234"/>
      <c r="E1492" s="1400"/>
      <c r="F1492" s="1400"/>
      <c r="G1492" s="1400"/>
      <c r="H1492" s="1400"/>
    </row>
    <row r="1493" spans="1:17" ht="12.75" customHeight="1">
      <c r="A1493" s="532"/>
      <c r="B1493" s="1611" t="s">
        <v>2058</v>
      </c>
      <c r="C1493" s="1221" t="s">
        <v>3563</v>
      </c>
      <c r="D1493" s="1221"/>
      <c r="E1493" s="1221"/>
      <c r="F1493" s="1221"/>
      <c r="G1493" s="1221"/>
      <c r="H1493" s="1221"/>
      <c r="I1493" s="1221"/>
      <c r="J1493" s="1221"/>
      <c r="K1493" s="1221"/>
      <c r="L1493" s="1221"/>
      <c r="M1493" s="1221"/>
      <c r="N1493" s="1221"/>
      <c r="O1493" s="236" t="s">
        <v>2058</v>
      </c>
      <c r="P1493" s="1218" t="str">
        <f>'Part VIII-Threshold Criteria'!P408</f>
        <v>Agree</v>
      </c>
      <c r="Q1493" s="1218">
        <f>'Part VIII-Threshold Criteria'!Q408</f>
        <v>0</v>
      </c>
    </row>
    <row r="1494" spans="1:17" ht="12.75" customHeight="1">
      <c r="A1494" s="532"/>
      <c r="B1494" s="1611" t="s">
        <v>2061</v>
      </c>
      <c r="C1494" s="1221" t="s">
        <v>3740</v>
      </c>
      <c r="D1494" s="1221"/>
      <c r="E1494" s="1221"/>
      <c r="F1494" s="1221"/>
      <c r="G1494" s="1221"/>
      <c r="H1494" s="1221"/>
      <c r="I1494" s="1221"/>
      <c r="J1494" s="1221"/>
      <c r="K1494" s="1221"/>
      <c r="L1494" s="1221"/>
      <c r="M1494" s="1221"/>
      <c r="N1494" s="1221"/>
      <c r="O1494" s="236" t="s">
        <v>2061</v>
      </c>
      <c r="P1494" s="1218" t="str">
        <f>'Part VIII-Threshold Criteria'!P409</f>
        <v>Agree</v>
      </c>
      <c r="Q1494" s="1218">
        <f>'Part VIII-Threshold Criteria'!Q409</f>
        <v>0</v>
      </c>
    </row>
    <row r="1495" spans="1:17" ht="12.75" customHeight="1">
      <c r="A1495" s="532"/>
      <c r="B1495" s="1611" t="s">
        <v>779</v>
      </c>
      <c r="C1495" s="1221" t="s">
        <v>3741</v>
      </c>
      <c r="D1495" s="1221"/>
      <c r="E1495" s="1221"/>
      <c r="F1495" s="1221"/>
      <c r="G1495" s="1221"/>
      <c r="H1495" s="1221"/>
      <c r="I1495" s="1221"/>
      <c r="J1495" s="1221"/>
      <c r="K1495" s="1221"/>
      <c r="L1495" s="1221"/>
      <c r="M1495" s="1221"/>
      <c r="N1495" s="1221"/>
      <c r="O1495" s="236" t="s">
        <v>779</v>
      </c>
      <c r="P1495" s="1218" t="str">
        <f>'Part VIII-Threshold Criteria'!P410</f>
        <v>Agree</v>
      </c>
      <c r="Q1495" s="1218">
        <f>'Part VIII-Threshold Criteria'!Q410</f>
        <v>0</v>
      </c>
    </row>
    <row r="1496" spans="1:17" ht="12.75" customHeight="1">
      <c r="A1496" s="532"/>
      <c r="B1496" s="1611" t="s">
        <v>2193</v>
      </c>
      <c r="C1496" s="1221" t="s">
        <v>3564</v>
      </c>
      <c r="D1496" s="1221"/>
      <c r="E1496" s="1221"/>
      <c r="F1496" s="1221"/>
      <c r="G1496" s="1221"/>
      <c r="H1496" s="1221"/>
      <c r="I1496" s="1221"/>
      <c r="J1496" s="1221"/>
      <c r="K1496" s="1221"/>
      <c r="L1496" s="1221"/>
      <c r="M1496" s="1221"/>
      <c r="N1496" s="1221"/>
      <c r="O1496" s="236" t="s">
        <v>2193</v>
      </c>
      <c r="P1496" s="1218" t="str">
        <f>'Part VIII-Threshold Criteria'!P411</f>
        <v>Agree</v>
      </c>
      <c r="Q1496" s="1218">
        <f>'Part VIII-Threshold Criteria'!Q411</f>
        <v>0</v>
      </c>
    </row>
    <row r="1497" spans="1:17" ht="12.75" customHeight="1">
      <c r="A1497" s="532"/>
      <c r="B1497" s="1611" t="s">
        <v>1801</v>
      </c>
      <c r="C1497" s="1221" t="s">
        <v>3565</v>
      </c>
      <c r="D1497" s="1221"/>
      <c r="E1497" s="1221"/>
      <c r="F1497" s="1221"/>
      <c r="G1497" s="1221"/>
      <c r="H1497" s="1221"/>
      <c r="I1497" s="1221"/>
      <c r="J1497" s="1221"/>
      <c r="K1497" s="1221"/>
      <c r="L1497" s="1221"/>
      <c r="M1497" s="1221"/>
      <c r="N1497" s="1221"/>
      <c r="O1497" s="236" t="s">
        <v>1801</v>
      </c>
      <c r="P1497" s="1218" t="str">
        <f>'Part VIII-Threshold Criteria'!P412</f>
        <v>Agree</v>
      </c>
      <c r="Q1497" s="1218">
        <f>'Part VIII-Threshold Criteria'!Q412</f>
        <v>0</v>
      </c>
    </row>
    <row r="1498" spans="1:17" ht="12.75" customHeight="1">
      <c r="A1498" s="532"/>
      <c r="B1498" s="1611" t="s">
        <v>1802</v>
      </c>
      <c r="C1498" s="1221" t="s">
        <v>3566</v>
      </c>
      <c r="D1498" s="1221"/>
      <c r="E1498" s="1221"/>
      <c r="F1498" s="1221"/>
      <c r="G1498" s="1221"/>
      <c r="H1498" s="1221"/>
      <c r="I1498" s="1221"/>
      <c r="J1498" s="1221"/>
      <c r="K1498" s="1221"/>
      <c r="L1498" s="1221"/>
      <c r="M1498" s="1221"/>
      <c r="N1498" s="1221"/>
      <c r="O1498" s="236" t="s">
        <v>1802</v>
      </c>
      <c r="P1498" s="1218" t="str">
        <f>'Part VIII-Threshold Criteria'!P413</f>
        <v>Agree</v>
      </c>
      <c r="Q1498" s="1218">
        <f>'Part VIII-Threshold Criteria'!Q413</f>
        <v>0</v>
      </c>
    </row>
    <row r="1499" spans="1:17" ht="12.75" customHeight="1">
      <c r="A1499" s="532"/>
      <c r="B1499" s="1611" t="s">
        <v>2021</v>
      </c>
      <c r="C1499" s="1221" t="s">
        <v>3743</v>
      </c>
      <c r="D1499" s="1221"/>
      <c r="E1499" s="1221"/>
      <c r="F1499" s="1221"/>
      <c r="G1499" s="1221"/>
      <c r="H1499" s="1221"/>
      <c r="I1499" s="1221"/>
      <c r="J1499" s="1221"/>
      <c r="K1499" s="1221"/>
      <c r="L1499" s="1221"/>
      <c r="M1499" s="1221"/>
      <c r="N1499" s="1221"/>
      <c r="O1499" s="236" t="s">
        <v>2021</v>
      </c>
      <c r="P1499" s="1218" t="str">
        <f>'Part VIII-Threshold Criteria'!P414</f>
        <v>Agree</v>
      </c>
      <c r="Q1499" s="1218">
        <f>'Part VIII-Threshold Criteria'!Q414</f>
        <v>0</v>
      </c>
    </row>
    <row r="1500" spans="1:17">
      <c r="B1500" s="101" t="s">
        <v>1936</v>
      </c>
      <c r="D1500" s="101"/>
      <c r="E1500" s="101"/>
      <c r="F1500" s="101"/>
      <c r="G1500" s="101"/>
      <c r="H1500" s="1220"/>
      <c r="I1500" s="1407"/>
      <c r="J1500" s="1407"/>
      <c r="K1500" s="1407"/>
      <c r="L1500" s="1219"/>
      <c r="M1500" s="1219"/>
      <c r="N1500" s="1219"/>
      <c r="O1500" s="1219"/>
      <c r="P1500" s="1219"/>
      <c r="Q1500" s="1219"/>
    </row>
    <row r="1501" spans="1:17" ht="135">
      <c r="A1501" s="1221" t="str">
        <f>'Part VIII-Threshold Criteria'!A416</f>
        <v xml:space="preserve">If selected the project team will submit an AFFH Marketing Plan that meets all of DCA's criteria listed above. </v>
      </c>
      <c r="B1501" s="1221"/>
      <c r="C1501" s="1221"/>
      <c r="D1501" s="1221"/>
      <c r="E1501" s="1221"/>
      <c r="F1501" s="1221"/>
      <c r="G1501" s="1221"/>
      <c r="H1501" s="1221"/>
      <c r="I1501" s="1221"/>
      <c r="J1501" s="1221"/>
      <c r="K1501" s="1221"/>
      <c r="L1501" s="1221"/>
      <c r="M1501" s="1221"/>
      <c r="N1501" s="1221"/>
      <c r="O1501" s="1221"/>
      <c r="P1501" s="1221"/>
      <c r="Q1501" s="1221"/>
    </row>
    <row r="1502" spans="1:17">
      <c r="B1502" s="147" t="s">
        <v>1937</v>
      </c>
      <c r="C1502" s="148"/>
      <c r="D1502" s="1400"/>
      <c r="E1502" s="1400"/>
      <c r="F1502" s="1400"/>
      <c r="G1502" s="1400"/>
      <c r="H1502" s="1400"/>
      <c r="I1502" s="1400"/>
      <c r="J1502" s="1400"/>
      <c r="K1502" s="1400"/>
      <c r="L1502" s="1400"/>
      <c r="M1502" s="1400"/>
      <c r="N1502" s="1400"/>
      <c r="O1502" s="1400"/>
      <c r="P1502" s="1400"/>
    </row>
    <row r="1503" spans="1:17">
      <c r="A1503" s="1221">
        <f>'Part VIII-Threshold Criteria'!A418</f>
        <v>0</v>
      </c>
      <c r="B1503" s="1221"/>
      <c r="C1503" s="1221"/>
      <c r="D1503" s="1221"/>
      <c r="E1503" s="1221"/>
      <c r="F1503" s="1221"/>
      <c r="G1503" s="1221"/>
      <c r="H1503" s="1221"/>
      <c r="I1503" s="1221"/>
      <c r="J1503" s="1221"/>
      <c r="K1503" s="1221"/>
      <c r="L1503" s="1221"/>
      <c r="M1503" s="1221"/>
      <c r="N1503" s="1221"/>
      <c r="O1503" s="1221"/>
      <c r="P1503" s="1221"/>
      <c r="Q1503" s="1221"/>
    </row>
    <row r="1504" spans="1:17">
      <c r="A1504" s="1219"/>
      <c r="B1504" s="1407"/>
      <c r="C1504" s="1400"/>
      <c r="D1504" s="1400"/>
      <c r="E1504" s="1400"/>
      <c r="F1504" s="1400"/>
      <c r="G1504" s="1400"/>
      <c r="H1504" s="1400"/>
      <c r="I1504" s="1400"/>
      <c r="J1504" s="1400"/>
      <c r="K1504" s="1400"/>
      <c r="L1504" s="1400"/>
      <c r="M1504" s="1400"/>
      <c r="Q1504" s="1219"/>
    </row>
    <row r="1505" spans="1:17">
      <c r="A1505" s="2">
        <v>27</v>
      </c>
      <c r="B1505" s="10" t="s">
        <v>2764</v>
      </c>
      <c r="C1505" s="10"/>
      <c r="D1505" s="234"/>
      <c r="E1505" s="1400"/>
      <c r="F1505" s="1400"/>
      <c r="G1505" s="1400"/>
      <c r="H1505" s="1400"/>
      <c r="I1505" s="1400"/>
      <c r="J1505" s="1400"/>
      <c r="K1505" s="1400"/>
      <c r="L1505" s="1400"/>
      <c r="M1505" s="1400"/>
      <c r="O1505" s="142" t="s">
        <v>1938</v>
      </c>
      <c r="P1505" s="1159">
        <f>'Part VIII-Threshold Criteria'!P420</f>
        <v>0</v>
      </c>
      <c r="Q1505" s="1159"/>
    </row>
    <row r="1506" spans="1:17">
      <c r="A1506" s="2"/>
      <c r="B1506" s="101" t="s">
        <v>1936</v>
      </c>
      <c r="D1506" s="101"/>
      <c r="E1506" s="101"/>
      <c r="F1506" s="101"/>
      <c r="G1506" s="101"/>
      <c r="H1506" s="1220"/>
      <c r="I1506" s="1407"/>
      <c r="J1506" s="1407"/>
      <c r="K1506" s="1407"/>
      <c r="L1506" s="1219"/>
      <c r="M1506" s="1219"/>
      <c r="N1506" s="1219"/>
      <c r="O1506" s="1219"/>
      <c r="P1506" s="1219"/>
      <c r="Q1506" s="1219"/>
    </row>
    <row r="1507" spans="1:17" ht="168.75">
      <c r="A1507" s="1221" t="str">
        <f>'Part VIII-Threshold Criteria'!A422</f>
        <v>The applicant ensures the complete, effective, and efficient and lawful utilization of the low income housing tax credits if awarded by DCA.</v>
      </c>
      <c r="B1507" s="1221"/>
      <c r="C1507" s="1221"/>
      <c r="D1507" s="1221"/>
      <c r="E1507" s="1221"/>
      <c r="F1507" s="1221"/>
      <c r="G1507" s="1221"/>
      <c r="H1507" s="1221"/>
      <c r="I1507" s="1221"/>
      <c r="J1507" s="1221"/>
      <c r="K1507" s="1221"/>
      <c r="L1507" s="1221"/>
      <c r="M1507" s="1221"/>
      <c r="N1507" s="1221"/>
      <c r="O1507" s="1221"/>
      <c r="P1507" s="1221"/>
      <c r="Q1507" s="1221"/>
    </row>
    <row r="1508" spans="1:17">
      <c r="B1508" s="147" t="s">
        <v>1937</v>
      </c>
      <c r="C1508" s="148"/>
      <c r="D1508" s="1400"/>
      <c r="E1508" s="1400"/>
      <c r="F1508" s="1400"/>
      <c r="G1508" s="1400"/>
      <c r="H1508" s="1400"/>
      <c r="I1508" s="1400"/>
      <c r="J1508" s="1400"/>
      <c r="K1508" s="1400"/>
      <c r="L1508" s="1400"/>
      <c r="M1508" s="1400"/>
      <c r="N1508" s="1400"/>
      <c r="O1508" s="1400"/>
      <c r="P1508" s="1400"/>
    </row>
    <row r="1509" spans="1:17">
      <c r="A1509" s="1221">
        <f>'Part VIII-Threshold Criteria'!A424</f>
        <v>0</v>
      </c>
      <c r="B1509" s="1221"/>
      <c r="C1509" s="1221"/>
      <c r="D1509" s="1221"/>
      <c r="E1509" s="1221"/>
      <c r="F1509" s="1221"/>
      <c r="G1509" s="1221"/>
      <c r="H1509" s="1221"/>
      <c r="I1509" s="1221"/>
      <c r="J1509" s="1221"/>
      <c r="K1509" s="1221"/>
      <c r="L1509" s="1221"/>
      <c r="M1509" s="1221"/>
      <c r="N1509" s="1221"/>
      <c r="O1509" s="1221"/>
      <c r="P1509" s="1221"/>
      <c r="Q1509" s="1221"/>
    </row>
    <row r="1518" spans="1:17">
      <c r="A1518" s="10" t="str">
        <f>CONCATENATE("PART NINE - SCORING CRITERIA","  -  ",'Part I-Project Information'!$O$4," ",'Part I-Project Information'!$F$24,", ",'Part I-Project Information'!F1459,", ",'Part I-Project Information'!J1460," County")</f>
        <v>PART NINE - SCORING CRITERIA  -  2016-524 Wheat Street Tower, ,  County</v>
      </c>
      <c r="B1518" s="10"/>
      <c r="C1518" s="10"/>
      <c r="D1518" s="10"/>
      <c r="E1518" s="10"/>
      <c r="F1518" s="10"/>
      <c r="G1518" s="10"/>
      <c r="H1518" s="10"/>
      <c r="I1518" s="10"/>
      <c r="J1518" s="10"/>
      <c r="K1518" s="10"/>
      <c r="L1518" s="10"/>
      <c r="M1518" s="10"/>
      <c r="N1518" s="10"/>
      <c r="O1518" s="10"/>
      <c r="P1518" s="10"/>
    </row>
    <row r="1519" spans="1:17">
      <c r="A1519" s="54"/>
      <c r="B1519" s="54"/>
      <c r="C1519" s="1271"/>
      <c r="D1519" s="54"/>
      <c r="E1519" s="54"/>
      <c r="F1519" s="54"/>
      <c r="G1519" s="54"/>
      <c r="H1519" s="54"/>
      <c r="I1519" s="54"/>
      <c r="J1519" s="54"/>
      <c r="K1519" s="54"/>
      <c r="L1519" s="54"/>
      <c r="M1519" s="1407"/>
      <c r="N1519" s="484"/>
      <c r="O1519" s="1190"/>
      <c r="P1519" s="1190"/>
    </row>
    <row r="1520" spans="1:17" ht="12.75" customHeight="1">
      <c r="A1520" s="1158" t="s">
        <v>4049</v>
      </c>
      <c r="B1520" s="1158"/>
      <c r="C1520" s="1158"/>
      <c r="D1520" s="1158"/>
      <c r="E1520" s="1158"/>
      <c r="F1520" s="1158"/>
      <c r="G1520" s="1158"/>
      <c r="H1520" s="1158"/>
      <c r="I1520" s="1158"/>
      <c r="J1520" s="1158"/>
      <c r="K1520" s="1158"/>
      <c r="L1520" s="1158"/>
      <c r="M1520" s="1652" t="s">
        <v>2298</v>
      </c>
      <c r="N1520" s="484"/>
      <c r="O1520" s="1190" t="s">
        <v>2297</v>
      </c>
      <c r="P1520" s="31" t="s">
        <v>268</v>
      </c>
    </row>
    <row r="1521" spans="1:19" ht="14.25">
      <c r="A1521" s="1158"/>
      <c r="B1521" s="1158"/>
      <c r="C1521" s="1158"/>
      <c r="D1521" s="1158"/>
      <c r="E1521" s="1158"/>
      <c r="F1521" s="1158"/>
      <c r="G1521" s="1158"/>
      <c r="H1521" s="1158"/>
      <c r="I1521" s="1158"/>
      <c r="J1521" s="1158"/>
      <c r="K1521" s="1158"/>
      <c r="L1521" s="1158"/>
      <c r="M1521" s="1652" t="s">
        <v>95</v>
      </c>
      <c r="N1521" s="10"/>
      <c r="O1521" s="1190" t="s">
        <v>2298</v>
      </c>
      <c r="P1521" s="31" t="s">
        <v>2298</v>
      </c>
      <c r="Q1521" s="1653"/>
      <c r="R1521" s="1653"/>
      <c r="S1521" s="1653"/>
    </row>
    <row r="1522" spans="1:19" ht="14.25">
      <c r="A1522" s="533"/>
      <c r="B1522" s="533"/>
      <c r="C1522" s="533"/>
      <c r="D1522" s="533"/>
      <c r="E1522" s="533"/>
      <c r="F1522" s="533"/>
      <c r="G1522" s="533"/>
      <c r="H1522" s="533"/>
      <c r="I1522" s="533"/>
      <c r="J1522" s="533"/>
      <c r="K1522" s="533"/>
      <c r="L1522" s="1653"/>
      <c r="M1522" s="1652"/>
      <c r="N1522" s="10"/>
      <c r="O1522" s="1190"/>
      <c r="P1522" s="31"/>
      <c r="Q1522" s="1653"/>
      <c r="R1522" s="1653"/>
      <c r="S1522" s="1653"/>
    </row>
    <row r="1523" spans="1:19" ht="15.75">
      <c r="A1523" s="533"/>
      <c r="B1523" s="533"/>
      <c r="C1523" s="533"/>
      <c r="D1523" s="533"/>
      <c r="E1523" s="533"/>
      <c r="F1523" s="533"/>
      <c r="G1523" s="533"/>
      <c r="H1523" s="533"/>
      <c r="I1523" s="533"/>
      <c r="J1523" s="533"/>
      <c r="K1523" s="1653"/>
      <c r="L1523" s="1654" t="s">
        <v>1272</v>
      </c>
      <c r="M1523" s="3">
        <f>M1925</f>
        <v>103</v>
      </c>
      <c r="N1523" s="1587"/>
      <c r="O1523" s="3">
        <f ca="1">O1925</f>
        <v>22</v>
      </c>
      <c r="P1523" s="3">
        <f ca="1">P1925</f>
        <v>22</v>
      </c>
      <c r="Q1523" s="1653"/>
      <c r="R1523" s="1653"/>
      <c r="S1523" s="1653"/>
    </row>
    <row r="1524" spans="1:19" ht="14.25">
      <c r="A1524" s="533"/>
      <c r="B1524" s="533"/>
      <c r="C1524" s="533"/>
      <c r="D1524" s="533"/>
      <c r="E1524" s="533"/>
      <c r="F1524" s="533"/>
      <c r="G1524" s="533"/>
      <c r="H1524" s="533"/>
      <c r="I1524" s="533"/>
      <c r="J1524" s="533"/>
      <c r="K1524" s="533"/>
      <c r="L1524" s="1653"/>
      <c r="M1524" s="1652"/>
      <c r="N1524" s="10"/>
      <c r="O1524" s="1190"/>
      <c r="P1524" s="31"/>
      <c r="Q1524" s="1653"/>
      <c r="R1524" s="1653"/>
      <c r="S1524" s="1653"/>
    </row>
    <row r="1525" spans="1:19">
      <c r="A1525" s="1655" t="s">
        <v>2062</v>
      </c>
      <c r="B1525" s="112" t="s">
        <v>2903</v>
      </c>
      <c r="C1525" s="10"/>
      <c r="D1525" s="10"/>
      <c r="E1525" s="10"/>
      <c r="F1525" s="10"/>
      <c r="G1525" s="533"/>
      <c r="H1525" s="71" t="s">
        <v>3744</v>
      </c>
      <c r="I1525" s="533"/>
      <c r="J1525" s="533"/>
      <c r="K1525" s="533"/>
      <c r="L1525" s="533"/>
      <c r="M1525" s="1190">
        <v>10</v>
      </c>
      <c r="N1525" s="1656"/>
      <c r="O1525" s="3">
        <f>'Part IX A-Scoring Criteria'!O8</f>
        <v>10</v>
      </c>
      <c r="P1525" s="3">
        <f>'Part IX A-Scoring Criteria'!P8</f>
        <v>10</v>
      </c>
      <c r="Q1525" s="1190" t="s">
        <v>456</v>
      </c>
      <c r="R1525" s="533"/>
      <c r="S1525" s="533"/>
    </row>
    <row r="1526" spans="1:19" ht="15">
      <c r="A1526" s="533"/>
      <c r="B1526" s="67"/>
      <c r="C1526" s="54"/>
      <c r="D1526" s="109"/>
      <c r="E1526" s="109"/>
      <c r="F1526" s="109"/>
      <c r="G1526" s="109"/>
      <c r="H1526" s="109"/>
      <c r="I1526" s="109"/>
      <c r="J1526" s="109"/>
      <c r="K1526" s="109"/>
      <c r="L1526" s="533"/>
      <c r="M1526" s="484"/>
      <c r="N1526" s="615"/>
      <c r="O1526" s="3"/>
      <c r="P1526" s="1190"/>
      <c r="Q1526" s="56"/>
      <c r="R1526" s="533"/>
      <c r="S1526" s="533"/>
    </row>
    <row r="1527" spans="1:19">
      <c r="A1527" s="196" t="s">
        <v>2058</v>
      </c>
      <c r="B1527" s="1159" t="s">
        <v>1939</v>
      </c>
      <c r="C1527" s="533"/>
      <c r="D1527" s="109"/>
      <c r="E1527" s="109"/>
      <c r="F1527" s="1407" t="s">
        <v>2671</v>
      </c>
      <c r="G1527" s="1220">
        <f>F1532</f>
        <v>0</v>
      </c>
      <c r="H1527" s="573" t="s">
        <v>4071</v>
      </c>
      <c r="I1527" s="533"/>
      <c r="J1527" s="533"/>
      <c r="K1527" s="533"/>
      <c r="L1527" s="533"/>
      <c r="M1527" s="484"/>
      <c r="N1527" s="69" t="s">
        <v>2058</v>
      </c>
      <c r="O1527" s="1542">
        <f>'Part IX A-Scoring Criteria'!O10</f>
        <v>0</v>
      </c>
      <c r="P1527" s="1542">
        <f>F1532</f>
        <v>0</v>
      </c>
      <c r="Q1527" s="533"/>
      <c r="R1527" s="533"/>
      <c r="S1527" s="533"/>
    </row>
    <row r="1528" spans="1:19" ht="15">
      <c r="A1528" s="196"/>
      <c r="B1528" s="109" t="s">
        <v>2191</v>
      </c>
      <c r="C1528" s="56"/>
      <c r="D1528" s="109"/>
      <c r="E1528" s="109"/>
      <c r="F1528" s="1407" t="s">
        <v>2671</v>
      </c>
      <c r="G1528" s="1220">
        <f>J1532</f>
        <v>0</v>
      </c>
      <c r="H1528" s="573" t="s">
        <v>2882</v>
      </c>
      <c r="I1528" s="56"/>
      <c r="J1528" s="71"/>
      <c r="K1528" s="56"/>
      <c r="L1528" s="56"/>
      <c r="M1528" s="484">
        <v>1</v>
      </c>
      <c r="N1528" s="69"/>
      <c r="O1528" s="1542">
        <f>'Part IX A-Scoring Criteria'!O11</f>
        <v>0</v>
      </c>
      <c r="P1528" s="1542">
        <f>J1532</f>
        <v>0</v>
      </c>
      <c r="Q1528" s="56"/>
      <c r="R1528" s="56"/>
      <c r="S1528" s="56"/>
    </row>
    <row r="1529" spans="1:19">
      <c r="A1529" s="196" t="s">
        <v>2061</v>
      </c>
      <c r="B1529" s="1159" t="s">
        <v>756</v>
      </c>
      <c r="C1529" s="533"/>
      <c r="D1529" s="109"/>
      <c r="E1529" s="109"/>
      <c r="F1529" s="1407" t="s">
        <v>2671</v>
      </c>
      <c r="G1529" s="1220">
        <f>O1532</f>
        <v>0</v>
      </c>
      <c r="H1529" s="573" t="s">
        <v>2837</v>
      </c>
      <c r="I1529" s="533"/>
      <c r="J1529" s="71"/>
      <c r="K1529" s="533"/>
      <c r="L1529" s="533"/>
      <c r="M1529" s="484"/>
      <c r="N1529" s="69" t="s">
        <v>2061</v>
      </c>
      <c r="O1529" s="1542">
        <f>'Part IX A-Scoring Criteria'!O12</f>
        <v>0</v>
      </c>
      <c r="P1529" s="1542">
        <f>O1532</f>
        <v>0</v>
      </c>
      <c r="Q1529" s="1190"/>
      <c r="R1529" s="533"/>
      <c r="S1529" s="533"/>
    </row>
    <row r="1530" spans="1:19" ht="20.25">
      <c r="A1530" s="71" t="s">
        <v>1937</v>
      </c>
      <c r="B1530" s="533"/>
      <c r="C1530" s="533"/>
      <c r="D1530" s="533"/>
      <c r="E1530" s="533"/>
      <c r="F1530" s="1407" t="s">
        <v>1780</v>
      </c>
      <c r="G1530" s="533"/>
      <c r="H1530" s="533"/>
      <c r="I1530" s="533"/>
      <c r="J1530" s="533"/>
      <c r="K1530" s="1407" t="s">
        <v>1780</v>
      </c>
      <c r="L1530" s="533"/>
      <c r="M1530" s="533"/>
      <c r="N1530" s="533"/>
      <c r="O1530" s="533"/>
      <c r="P1530" s="69" t="s">
        <v>1780</v>
      </c>
      <c r="Q1530" s="533"/>
      <c r="R1530" s="1657"/>
      <c r="S1530" s="1658"/>
    </row>
    <row r="1531" spans="1:19" ht="20.25">
      <c r="A1531" s="234" t="s">
        <v>3907</v>
      </c>
      <c r="B1531" s="234"/>
      <c r="C1531" s="234"/>
      <c r="D1531" s="234"/>
      <c r="E1531" s="234"/>
      <c r="F1531" s="533"/>
      <c r="G1531" s="533"/>
      <c r="H1531" s="533"/>
      <c r="I1531" s="533"/>
      <c r="J1531" s="533"/>
      <c r="K1531" s="1407"/>
      <c r="L1531" s="533"/>
      <c r="M1531" s="533"/>
      <c r="N1531" s="533"/>
      <c r="O1531" s="533"/>
      <c r="P1531" s="69"/>
      <c r="Q1531" s="533"/>
      <c r="R1531" s="1657"/>
      <c r="S1531" s="1658"/>
    </row>
    <row r="1532" spans="1:19" ht="20.25" customHeight="1">
      <c r="A1532" s="234" t="s">
        <v>3906</v>
      </c>
      <c r="B1532" s="234"/>
      <c r="C1532" s="234"/>
      <c r="D1532" s="234"/>
      <c r="E1532" s="69" t="s">
        <v>527</v>
      </c>
      <c r="F1532" s="1190">
        <f>SUM(F1533:F1544)</f>
        <v>0</v>
      </c>
      <c r="G1532" s="1179" t="s">
        <v>3900</v>
      </c>
      <c r="H1532" s="1179"/>
      <c r="I1532" s="1179"/>
      <c r="J1532" s="1190">
        <f>SUM(J1533:J1544)</f>
        <v>0</v>
      </c>
      <c r="K1532" s="234" t="s">
        <v>3567</v>
      </c>
      <c r="L1532" s="234"/>
      <c r="M1532" s="234"/>
      <c r="N1532" s="69" t="s">
        <v>527</v>
      </c>
      <c r="O1532" s="10">
        <f>SUM(O1533:O1544)</f>
        <v>0</v>
      </c>
      <c r="P1532" s="10"/>
      <c r="Q1532" s="1657"/>
      <c r="R1532" s="1658"/>
      <c r="S1532" s="533"/>
    </row>
    <row r="1533" spans="1:19" ht="20.25">
      <c r="A1533" s="1459">
        <f>'Part IX A-Scoring Criteria'!A16</f>
        <v>1</v>
      </c>
      <c r="B1533" s="1459"/>
      <c r="C1533" s="1459"/>
      <c r="D1533" s="1459"/>
      <c r="E1533" s="1459"/>
      <c r="F1533" s="75">
        <f>'Part IX A-Scoring Criteria'!F16</f>
        <v>0</v>
      </c>
      <c r="G1533" s="1459">
        <f>'Part IX A-Scoring Criteria'!G16</f>
        <v>1</v>
      </c>
      <c r="H1533" s="1459"/>
      <c r="I1533" s="1459"/>
      <c r="J1533" s="1659" t="s">
        <v>1799</v>
      </c>
      <c r="K1533" s="1459">
        <f>'Part IX A-Scoring Criteria'!K16</f>
        <v>1</v>
      </c>
      <c r="L1533" s="1459"/>
      <c r="M1533" s="1459"/>
      <c r="N1533" s="1459"/>
      <c r="O1533" s="1650" t="s">
        <v>1799</v>
      </c>
      <c r="P1533" s="1650"/>
      <c r="Q1533" s="1660" t="s">
        <v>1301</v>
      </c>
      <c r="R1533" s="1658"/>
      <c r="S1533" s="533"/>
    </row>
    <row r="1534" spans="1:19" ht="20.25">
      <c r="A1534" s="1459">
        <f>'Part IX A-Scoring Criteria'!A17</f>
        <v>2</v>
      </c>
      <c r="B1534" s="1459"/>
      <c r="C1534" s="1459"/>
      <c r="D1534" s="1459"/>
      <c r="E1534" s="1459"/>
      <c r="F1534" s="75">
        <f>'Part IX A-Scoring Criteria'!F17</f>
        <v>0</v>
      </c>
      <c r="G1534" s="1459">
        <f>'Part IX A-Scoring Criteria'!G17</f>
        <v>2</v>
      </c>
      <c r="H1534" s="1459"/>
      <c r="I1534" s="1459"/>
      <c r="J1534" s="75">
        <f>'Part IX A-Scoring Criteria'!J17</f>
        <v>0</v>
      </c>
      <c r="K1534" s="1459">
        <f>'Part IX A-Scoring Criteria'!K17</f>
        <v>2</v>
      </c>
      <c r="L1534" s="1459"/>
      <c r="M1534" s="1459"/>
      <c r="N1534" s="1459"/>
      <c r="O1534" s="1661">
        <f>'Part IX A-Scoring Criteria'!O17</f>
        <v>0</v>
      </c>
      <c r="P1534" s="1661"/>
      <c r="Q1534" s="1660"/>
      <c r="R1534" s="1658"/>
      <c r="S1534" s="533"/>
    </row>
    <row r="1535" spans="1:19" ht="22.5">
      <c r="A1535" s="1459">
        <f>'Part IX A-Scoring Criteria'!A18</f>
        <v>3</v>
      </c>
      <c r="B1535" s="1459"/>
      <c r="C1535" s="1459"/>
      <c r="D1535" s="1459"/>
      <c r="E1535" s="1459"/>
      <c r="F1535" s="75">
        <f>'Part IX A-Scoring Criteria'!F18</f>
        <v>0</v>
      </c>
      <c r="G1535" s="1459">
        <f>'Part IX A-Scoring Criteria'!G18</f>
        <v>3</v>
      </c>
      <c r="H1535" s="1459"/>
      <c r="I1535" s="1459"/>
      <c r="J1535" s="1659" t="s">
        <v>3057</v>
      </c>
      <c r="K1535" s="1459">
        <f>'Part IX A-Scoring Criteria'!K18</f>
        <v>3</v>
      </c>
      <c r="L1535" s="1459"/>
      <c r="M1535" s="1459"/>
      <c r="N1535" s="1459"/>
      <c r="O1535" s="1650" t="s">
        <v>3057</v>
      </c>
      <c r="P1535" s="1650"/>
      <c r="Q1535" s="1660"/>
      <c r="R1535" s="1658"/>
      <c r="S1535" s="533"/>
    </row>
    <row r="1536" spans="1:19" ht="20.25" customHeight="1">
      <c r="A1536" s="1459">
        <f>'Part IX A-Scoring Criteria'!A19</f>
        <v>4</v>
      </c>
      <c r="B1536" s="1459"/>
      <c r="C1536" s="1459"/>
      <c r="D1536" s="1459"/>
      <c r="E1536" s="1459"/>
      <c r="F1536" s="75">
        <f>'Part IX A-Scoring Criteria'!F19</f>
        <v>0</v>
      </c>
      <c r="G1536" s="1459">
        <f>'Part IX A-Scoring Criteria'!G19</f>
        <v>4</v>
      </c>
      <c r="H1536" s="1459"/>
      <c r="I1536" s="1459"/>
      <c r="J1536" s="75">
        <f>'Part IX A-Scoring Criteria'!J19</f>
        <v>0</v>
      </c>
      <c r="K1536" s="1459">
        <f>'Part IX A-Scoring Criteria'!K19</f>
        <v>4</v>
      </c>
      <c r="L1536" s="1459"/>
      <c r="M1536" s="1459"/>
      <c r="N1536" s="1459"/>
      <c r="O1536" s="1650" t="s">
        <v>3057</v>
      </c>
      <c r="P1536" s="1650"/>
      <c r="Q1536" s="1660"/>
      <c r="R1536" s="1658"/>
      <c r="S1536" s="533"/>
    </row>
    <row r="1537" spans="1:19" ht="22.5">
      <c r="A1537" s="1459">
        <f>'Part IX A-Scoring Criteria'!A20</f>
        <v>5</v>
      </c>
      <c r="B1537" s="1459"/>
      <c r="C1537" s="1459"/>
      <c r="D1537" s="1459"/>
      <c r="E1537" s="1459"/>
      <c r="F1537" s="75">
        <f>'Part IX A-Scoring Criteria'!F20</f>
        <v>0</v>
      </c>
      <c r="G1537" s="1459">
        <f>'Part IX A-Scoring Criteria'!G20</f>
        <v>5</v>
      </c>
      <c r="H1537" s="1459"/>
      <c r="I1537" s="1459"/>
      <c r="J1537" s="1659" t="s">
        <v>3902</v>
      </c>
      <c r="K1537" s="1459">
        <f>'Part IX A-Scoring Criteria'!K20</f>
        <v>5</v>
      </c>
      <c r="L1537" s="1459"/>
      <c r="M1537" s="1459"/>
      <c r="N1537" s="1459"/>
      <c r="O1537" s="1661">
        <f>'Part IX A-Scoring Criteria'!O20</f>
        <v>0</v>
      </c>
      <c r="P1537" s="1661"/>
      <c r="Q1537" s="1658"/>
      <c r="R1537" s="1658"/>
      <c r="S1537" s="533"/>
    </row>
    <row r="1538" spans="1:19" ht="20.25">
      <c r="A1538" s="1459">
        <f>'Part IX A-Scoring Criteria'!A21</f>
        <v>6</v>
      </c>
      <c r="B1538" s="1459"/>
      <c r="C1538" s="1459"/>
      <c r="D1538" s="1459"/>
      <c r="E1538" s="1459"/>
      <c r="F1538" s="75">
        <f>'Part IX A-Scoring Criteria'!F21</f>
        <v>0</v>
      </c>
      <c r="G1538" s="1459">
        <f>'Part IX A-Scoring Criteria'!G21</f>
        <v>6</v>
      </c>
      <c r="H1538" s="1459"/>
      <c r="I1538" s="1459"/>
      <c r="J1538" s="75">
        <f>'Part IX A-Scoring Criteria'!J21</f>
        <v>0</v>
      </c>
      <c r="K1538" s="1459">
        <f>'Part IX A-Scoring Criteria'!K21</f>
        <v>6</v>
      </c>
      <c r="L1538" s="1459"/>
      <c r="M1538" s="1459"/>
      <c r="N1538" s="1459"/>
      <c r="O1538" s="1661">
        <f>'Part IX A-Scoring Criteria'!O21</f>
        <v>0</v>
      </c>
      <c r="P1538" s="1661"/>
      <c r="Q1538" s="1658"/>
      <c r="R1538" s="1658"/>
      <c r="S1538" s="533"/>
    </row>
    <row r="1539" spans="1:19" ht="22.5">
      <c r="A1539" s="1459">
        <f>'Part IX A-Scoring Criteria'!A22</f>
        <v>7</v>
      </c>
      <c r="B1539" s="1459"/>
      <c r="C1539" s="1459"/>
      <c r="D1539" s="1459"/>
      <c r="E1539" s="1459"/>
      <c r="F1539" s="75">
        <f>'Part IX A-Scoring Criteria'!F22</f>
        <v>0</v>
      </c>
      <c r="G1539" s="1459">
        <f>'Part IX A-Scoring Criteria'!G22</f>
        <v>7</v>
      </c>
      <c r="H1539" s="1459"/>
      <c r="I1539" s="1459"/>
      <c r="J1539" s="1659" t="s">
        <v>3903</v>
      </c>
      <c r="K1539" s="1459">
        <f>'Part IX A-Scoring Criteria'!K22</f>
        <v>7</v>
      </c>
      <c r="L1539" s="1459"/>
      <c r="M1539" s="1459"/>
      <c r="N1539" s="1459"/>
      <c r="O1539" s="1661">
        <f>'Part IX A-Scoring Criteria'!O22</f>
        <v>0</v>
      </c>
      <c r="P1539" s="1661"/>
      <c r="Q1539" s="1658"/>
      <c r="R1539" s="1658"/>
      <c r="S1539" s="533"/>
    </row>
    <row r="1540" spans="1:19" ht="20.25">
      <c r="A1540" s="1459">
        <f>'Part IX A-Scoring Criteria'!A23</f>
        <v>8</v>
      </c>
      <c r="B1540" s="1459"/>
      <c r="C1540" s="1459"/>
      <c r="D1540" s="1459"/>
      <c r="E1540" s="1459"/>
      <c r="F1540" s="75">
        <f>'Part IX A-Scoring Criteria'!F23</f>
        <v>0</v>
      </c>
      <c r="G1540" s="1459">
        <f>'Part IX A-Scoring Criteria'!G23</f>
        <v>8</v>
      </c>
      <c r="H1540" s="1459"/>
      <c r="I1540" s="1459"/>
      <c r="J1540" s="75">
        <f>'Part IX A-Scoring Criteria'!J23</f>
        <v>0</v>
      </c>
      <c r="K1540" s="1459">
        <f>'Part IX A-Scoring Criteria'!K23</f>
        <v>8</v>
      </c>
      <c r="L1540" s="1459"/>
      <c r="M1540" s="1459"/>
      <c r="N1540" s="1459"/>
      <c r="O1540" s="1661">
        <f>'Part IX A-Scoring Criteria'!O23</f>
        <v>0</v>
      </c>
      <c r="P1540" s="1661"/>
      <c r="Q1540" s="1658"/>
      <c r="R1540" s="1658"/>
      <c r="S1540" s="533"/>
    </row>
    <row r="1541" spans="1:19" ht="22.5">
      <c r="A1541" s="1459">
        <f>'Part IX A-Scoring Criteria'!A24</f>
        <v>9</v>
      </c>
      <c r="B1541" s="1459"/>
      <c r="C1541" s="1459"/>
      <c r="D1541" s="1459"/>
      <c r="E1541" s="1459"/>
      <c r="F1541" s="75">
        <f>'Part IX A-Scoring Criteria'!F24</f>
        <v>0</v>
      </c>
      <c r="G1541" s="1459">
        <f>'Part IX A-Scoring Criteria'!G24</f>
        <v>9</v>
      </c>
      <c r="H1541" s="1459"/>
      <c r="I1541" s="1459"/>
      <c r="J1541" s="1659" t="s">
        <v>3904</v>
      </c>
      <c r="K1541" s="1459">
        <f>'Part IX A-Scoring Criteria'!K24</f>
        <v>9</v>
      </c>
      <c r="L1541" s="1459"/>
      <c r="M1541" s="1459"/>
      <c r="N1541" s="1459"/>
      <c r="O1541" s="1661">
        <f>'Part IX A-Scoring Criteria'!O24</f>
        <v>0</v>
      </c>
      <c r="P1541" s="1661"/>
      <c r="Q1541" s="1658"/>
      <c r="R1541" s="1658"/>
      <c r="S1541" s="533"/>
    </row>
    <row r="1542" spans="1:19" ht="20.25">
      <c r="A1542" s="1459">
        <f>'Part IX A-Scoring Criteria'!A25</f>
        <v>10</v>
      </c>
      <c r="B1542" s="1459"/>
      <c r="C1542" s="1459"/>
      <c r="D1542" s="1459"/>
      <c r="E1542" s="1459"/>
      <c r="F1542" s="75">
        <f>'Part IX A-Scoring Criteria'!F25</f>
        <v>0</v>
      </c>
      <c r="G1542" s="1459">
        <f>'Part IX A-Scoring Criteria'!G25</f>
        <v>10</v>
      </c>
      <c r="H1542" s="1459"/>
      <c r="I1542" s="1459"/>
      <c r="J1542" s="75">
        <f>'Part IX A-Scoring Criteria'!J25</f>
        <v>0</v>
      </c>
      <c r="K1542" s="1459">
        <f>'Part IX A-Scoring Criteria'!K25</f>
        <v>10</v>
      </c>
      <c r="L1542" s="1459"/>
      <c r="M1542" s="1459"/>
      <c r="N1542" s="1459"/>
      <c r="O1542" s="1661">
        <f>'Part IX A-Scoring Criteria'!O25</f>
        <v>0</v>
      </c>
      <c r="P1542" s="1661"/>
      <c r="Q1542" s="1658"/>
      <c r="R1542" s="1658"/>
      <c r="S1542" s="533"/>
    </row>
    <row r="1543" spans="1:19" ht="22.5">
      <c r="A1543" s="1459">
        <f>'Part IX A-Scoring Criteria'!A26</f>
        <v>11</v>
      </c>
      <c r="B1543" s="1459"/>
      <c r="C1543" s="1459"/>
      <c r="D1543" s="1459"/>
      <c r="E1543" s="1459"/>
      <c r="F1543" s="75">
        <f>'Part IX A-Scoring Criteria'!F26</f>
        <v>0</v>
      </c>
      <c r="G1543" s="1459">
        <f>'Part IX A-Scoring Criteria'!G26</f>
        <v>11</v>
      </c>
      <c r="H1543" s="1459"/>
      <c r="I1543" s="1459"/>
      <c r="J1543" s="1659" t="s">
        <v>3905</v>
      </c>
      <c r="K1543" s="1459">
        <f>'Part IX A-Scoring Criteria'!K26</f>
        <v>11</v>
      </c>
      <c r="L1543" s="1459"/>
      <c r="M1543" s="1459"/>
      <c r="N1543" s="1459"/>
      <c r="O1543" s="1661">
        <f>'Part IX A-Scoring Criteria'!O26</f>
        <v>0</v>
      </c>
      <c r="P1543" s="1661"/>
      <c r="Q1543" s="1658"/>
      <c r="R1543" s="1658"/>
      <c r="S1543" s="533"/>
    </row>
    <row r="1544" spans="1:19">
      <c r="A1544" s="1459">
        <f>'Part IX A-Scoring Criteria'!A27</f>
        <v>12</v>
      </c>
      <c r="B1544" s="1459"/>
      <c r="C1544" s="1459"/>
      <c r="D1544" s="1459"/>
      <c r="E1544" s="1459"/>
      <c r="F1544" s="75">
        <f>'Part IX A-Scoring Criteria'!F27</f>
        <v>0</v>
      </c>
      <c r="G1544" s="1459">
        <f>'Part IX A-Scoring Criteria'!G27</f>
        <v>12</v>
      </c>
      <c r="H1544" s="1459"/>
      <c r="I1544" s="1459"/>
      <c r="J1544" s="75">
        <f>'Part IX A-Scoring Criteria'!J27</f>
        <v>0</v>
      </c>
      <c r="K1544" s="1459">
        <f>'Part IX A-Scoring Criteria'!K27</f>
        <v>12</v>
      </c>
      <c r="L1544" s="1459"/>
      <c r="M1544" s="1459"/>
      <c r="N1544" s="1459"/>
      <c r="O1544" s="1661">
        <f>'Part IX A-Scoring Criteria'!O27</f>
        <v>0</v>
      </c>
      <c r="P1544" s="1661"/>
      <c r="Q1544" s="533"/>
      <c r="R1544" s="533"/>
      <c r="S1544" s="533"/>
    </row>
    <row r="1545" spans="1:19" ht="15">
      <c r="A1545" s="56"/>
      <c r="B1545" s="56"/>
      <c r="C1545" s="56"/>
      <c r="D1545" s="54"/>
      <c r="E1545" s="54"/>
      <c r="F1545" s="1190"/>
      <c r="G1545" s="1190"/>
      <c r="H1545" s="1190"/>
      <c r="I1545" s="1190"/>
      <c r="J1545" s="1220"/>
      <c r="K1545" s="1220"/>
      <c r="L1545" s="1220"/>
      <c r="M1545" s="1407"/>
      <c r="N1545" s="1190"/>
      <c r="O1545" s="31"/>
      <c r="P1545" s="3"/>
      <c r="Q1545" s="56"/>
      <c r="R1545" s="56"/>
      <c r="S1545" s="56"/>
    </row>
    <row r="1546" spans="1:19" ht="15">
      <c r="A1546" s="1662" t="s">
        <v>2064</v>
      </c>
      <c r="B1546" s="119" t="s">
        <v>3908</v>
      </c>
      <c r="C1546" s="56"/>
      <c r="D1546" s="56"/>
      <c r="E1546" s="54"/>
      <c r="F1546" s="56"/>
      <c r="G1546" s="93"/>
      <c r="H1546" s="54"/>
      <c r="I1546" s="62" t="s">
        <v>3767</v>
      </c>
      <c r="J1546" s="56"/>
      <c r="K1546" s="56"/>
      <c r="L1546" s="56"/>
      <c r="M1546" s="1190">
        <v>3</v>
      </c>
      <c r="N1546" s="484"/>
      <c r="O1546" s="3">
        <f>'Part IX A-Scoring Criteria'!O29</f>
        <v>0</v>
      </c>
      <c r="P1546" s="3">
        <f>'Part IX A-Scoring Criteria'!P29</f>
        <v>0</v>
      </c>
      <c r="Q1546" s="1190" t="s">
        <v>456</v>
      </c>
      <c r="R1546" s="1663" t="str">
        <f>IF(OR($O1546=$M1546,$O1546=0,$O1546=""),"","* * Check Score! * *")</f>
        <v/>
      </c>
      <c r="S1546" s="56"/>
    </row>
    <row r="1547" spans="1:19" ht="15">
      <c r="A1547" s="1662"/>
      <c r="B1547" s="119"/>
      <c r="C1547" s="56"/>
      <c r="D1547" s="56"/>
      <c r="E1547" s="54"/>
      <c r="F1547" s="56"/>
      <c r="G1547" s="93"/>
      <c r="H1547" s="54"/>
      <c r="I1547" s="62"/>
      <c r="J1547" s="56"/>
      <c r="K1547" s="1614"/>
      <c r="L1547" s="1188"/>
      <c r="M1547" s="1190"/>
      <c r="N1547" s="484"/>
      <c r="O1547" s="3"/>
      <c r="P1547" s="3"/>
      <c r="Q1547" s="1190"/>
      <c r="R1547" s="1663"/>
      <c r="S1547" s="56"/>
    </row>
    <row r="1548" spans="1:19" ht="15" customHeight="1">
      <c r="A1548" s="196" t="s">
        <v>2058</v>
      </c>
      <c r="B1548" s="1264" t="s">
        <v>2713</v>
      </c>
      <c r="C1548" s="56"/>
      <c r="D1548" s="56"/>
      <c r="E1548" s="54"/>
      <c r="F1548" s="56"/>
      <c r="G1548" s="93"/>
      <c r="H1548" s="1511" t="s">
        <v>3909</v>
      </c>
      <c r="I1548" s="1511"/>
      <c r="J1548" s="1188">
        <f>'Part VI-Revenues &amp; Expenses'!$O$60</f>
        <v>208</v>
      </c>
      <c r="K1548" s="1265"/>
      <c r="L1548" s="56"/>
      <c r="M1548" s="1190"/>
      <c r="N1548" s="484"/>
      <c r="O1548" s="56"/>
      <c r="P1548" s="56"/>
      <c r="Q1548" s="484"/>
      <c r="R1548" s="1663"/>
      <c r="S1548" s="56"/>
    </row>
    <row r="1549" spans="1:19" ht="15" customHeight="1">
      <c r="A1549" s="196"/>
      <c r="B1549" s="144" t="s">
        <v>3910</v>
      </c>
      <c r="C1549" s="144"/>
      <c r="D1549" s="144"/>
      <c r="E1549" s="144"/>
      <c r="F1549" s="144"/>
      <c r="G1549" s="1179"/>
      <c r="H1549" s="1664" t="s">
        <v>3911</v>
      </c>
      <c r="I1549" s="1664" t="s">
        <v>3912</v>
      </c>
      <c r="J1549" s="1179"/>
      <c r="K1549" s="54" t="s">
        <v>3569</v>
      </c>
      <c r="L1549" s="54"/>
      <c r="M1549" s="1190"/>
      <c r="N1549" s="484"/>
      <c r="O1549" s="98"/>
      <c r="P1549" s="98"/>
      <c r="Q1549" s="484"/>
      <c r="R1549" s="1663"/>
      <c r="S1549" s="98"/>
    </row>
    <row r="1550" spans="1:19" ht="15" customHeight="1">
      <c r="A1550" s="98"/>
      <c r="B1550" s="144"/>
      <c r="C1550" s="144"/>
      <c r="D1550" s="144"/>
      <c r="E1550" s="144"/>
      <c r="F1550" s="144"/>
      <c r="G1550" s="98"/>
      <c r="H1550" s="144" t="s">
        <v>4072</v>
      </c>
      <c r="I1550" s="144"/>
      <c r="J1550" s="1665"/>
      <c r="K1550" s="1664" t="s">
        <v>3911</v>
      </c>
      <c r="L1550" s="1664" t="s">
        <v>3912</v>
      </c>
      <c r="M1550" s="484"/>
      <c r="N1550" s="1666" t="s">
        <v>2058</v>
      </c>
      <c r="O1550" s="1273">
        <f>SUM(O1551:O1552)</f>
        <v>0</v>
      </c>
      <c r="P1550" s="1273">
        <f>SUM(P1551:P1552)</f>
        <v>0</v>
      </c>
      <c r="Q1550" s="98"/>
      <c r="R1550" s="98"/>
      <c r="S1550" s="98"/>
    </row>
    <row r="1551" spans="1:19" ht="15">
      <c r="A1551" s="1667"/>
      <c r="B1551" s="1668" t="s">
        <v>2062</v>
      </c>
      <c r="C1551" s="766">
        <v>0.15</v>
      </c>
      <c r="D1551" s="150" t="s">
        <v>3568</v>
      </c>
      <c r="E1551" s="1669"/>
      <c r="F1551" s="1669"/>
      <c r="G1551" s="1669"/>
      <c r="H1551" s="1161">
        <f>'Part IX A-Scoring Criteria'!H34</f>
        <v>0</v>
      </c>
      <c r="I1551" s="1161">
        <f>'Part IX A-Scoring Criteria'!I34</f>
        <v>0</v>
      </c>
      <c r="J1551" s="1669"/>
      <c r="K1551" s="1263">
        <f>IF(OR('Part VI-Revenues &amp; Expenses'!$O$60="", 'Part VI-Revenues &amp; Expenses'!$O$60=0),0,H1551/'Part VI-Revenues &amp; Expenses'!$O$60)</f>
        <v>0</v>
      </c>
      <c r="L1551" s="1263">
        <f>IF(OR('Part VI-Revenues &amp; Expenses'!$O$60="", 'Part VI-Revenues &amp; Expenses'!$O$60=0),0,I1551/'Part VI-Revenues &amp; Expenses'!$O$60)</f>
        <v>0</v>
      </c>
      <c r="M1551" s="484">
        <v>1</v>
      </c>
      <c r="N1551" s="1666" t="s">
        <v>2062</v>
      </c>
      <c r="O1551" s="1273">
        <f>'Part IX A-Scoring Criteria'!O34</f>
        <v>0</v>
      </c>
      <c r="P1551" s="1273">
        <f>'Part IX A-Scoring Criteria'!P34</f>
        <v>0</v>
      </c>
      <c r="Q1551" s="1669"/>
      <c r="R1551" s="1669"/>
      <c r="S1551" s="1669"/>
    </row>
    <row r="1552" spans="1:19" ht="15">
      <c r="A1552" s="1218" t="s">
        <v>3530</v>
      </c>
      <c r="B1552" s="1668" t="s">
        <v>2064</v>
      </c>
      <c r="C1552" s="766">
        <v>0.2</v>
      </c>
      <c r="D1552" s="150" t="s">
        <v>3568</v>
      </c>
      <c r="E1552" s="1669"/>
      <c r="F1552" s="1669"/>
      <c r="G1552" s="1669"/>
      <c r="H1552" s="1161">
        <f>'Part IX A-Scoring Criteria'!H35</f>
        <v>0</v>
      </c>
      <c r="I1552" s="1161">
        <f>'Part IX A-Scoring Criteria'!I35</f>
        <v>0</v>
      </c>
      <c r="J1552" s="1669"/>
      <c r="K1552" s="1263">
        <f>IF(OR('Part VI-Revenues &amp; Expenses'!$O$60="", 'Part VI-Revenues &amp; Expenses'!$O$60=0),0,H1552/'Part VI-Revenues &amp; Expenses'!$O$60)</f>
        <v>0</v>
      </c>
      <c r="L1552" s="1263">
        <f>IF(OR('Part VI-Revenues &amp; Expenses'!$O$60="", 'Part VI-Revenues &amp; Expenses'!$O$60=0),0,I1552/'Part VI-Revenues &amp; Expenses'!$O$60)</f>
        <v>0</v>
      </c>
      <c r="M1552" s="484">
        <v>2</v>
      </c>
      <c r="N1552" s="1666" t="s">
        <v>2064</v>
      </c>
      <c r="O1552" s="1273">
        <f>'Part IX A-Scoring Criteria'!O35</f>
        <v>0</v>
      </c>
      <c r="P1552" s="1273">
        <f>'Part IX A-Scoring Criteria'!P35</f>
        <v>0</v>
      </c>
      <c r="Q1552" s="1669"/>
      <c r="R1552" s="1669"/>
      <c r="S1552" s="1669"/>
    </row>
    <row r="1553" spans="1:19" ht="15">
      <c r="A1553" s="1218"/>
      <c r="B1553" s="1668"/>
      <c r="C1553" s="766"/>
      <c r="D1553" s="150"/>
      <c r="E1553" s="1669"/>
      <c r="F1553" s="1669"/>
      <c r="G1553" s="1669"/>
      <c r="H1553" s="1669"/>
      <c r="I1553" s="1669"/>
      <c r="J1553" s="1669"/>
      <c r="K1553" s="1263"/>
      <c r="L1553" s="1263"/>
      <c r="M1553" s="484"/>
      <c r="N1553" s="1666"/>
      <c r="O1553" s="1273"/>
      <c r="P1553" s="1273"/>
      <c r="Q1553" s="1669"/>
      <c r="R1553" s="1669"/>
      <c r="S1553" s="1669"/>
    </row>
    <row r="1554" spans="1:19" ht="15" customHeight="1">
      <c r="A1554" s="196" t="s">
        <v>2061</v>
      </c>
      <c r="B1554" s="1264" t="s">
        <v>4075</v>
      </c>
      <c r="C1554" s="1669"/>
      <c r="D1554" s="1669"/>
      <c r="E1554" s="61"/>
      <c r="F1554" s="1669"/>
      <c r="G1554" s="1669"/>
      <c r="H1554" s="144" t="s">
        <v>4077</v>
      </c>
      <c r="I1554" s="144"/>
      <c r="J1554" s="1669"/>
      <c r="K1554" s="1669"/>
      <c r="L1554" s="1669"/>
      <c r="M1554" s="484"/>
      <c r="N1554" s="236" t="s">
        <v>2061</v>
      </c>
      <c r="O1554" s="1273">
        <f>SUM(O1555:O1556)</f>
        <v>0</v>
      </c>
      <c r="P1554" s="1273">
        <f>SUM(P1555:P1556)</f>
        <v>0</v>
      </c>
      <c r="Q1554" s="1669"/>
      <c r="R1554" s="1669"/>
      <c r="S1554" s="1669"/>
    </row>
    <row r="1555" spans="1:19" ht="15">
      <c r="A1555" s="1667"/>
      <c r="B1555" s="1668" t="s">
        <v>2062</v>
      </c>
      <c r="C1555" s="766">
        <v>0.15</v>
      </c>
      <c r="D1555" s="150" t="s">
        <v>4076</v>
      </c>
      <c r="E1555" s="61"/>
      <c r="F1555" s="1183"/>
      <c r="G1555" s="1669"/>
      <c r="H1555" s="1161">
        <f>'Part IX A-Scoring Criteria'!H38</f>
        <v>0</v>
      </c>
      <c r="I1555" s="1161">
        <f>'Part IX A-Scoring Criteria'!I38</f>
        <v>0</v>
      </c>
      <c r="J1555" s="1161"/>
      <c r="K1555" s="1263">
        <f>IF(OR('Part VI-Revenues &amp; Expenses'!$O$60="", 'Part VI-Revenues &amp; Expenses'!$O$60=0),0,H1555/'Part VI-Revenues &amp; Expenses'!$O$60)</f>
        <v>0</v>
      </c>
      <c r="L1555" s="1263">
        <f>IF(OR('Part VI-Revenues &amp; Expenses'!$O$60="", 'Part VI-Revenues &amp; Expenses'!$O$60=0),0,I1555/'Part VI-Revenues &amp; Expenses'!$O$60)</f>
        <v>0</v>
      </c>
      <c r="M1555" s="484">
        <v>2</v>
      </c>
      <c r="N1555" s="1666" t="s">
        <v>2062</v>
      </c>
      <c r="O1555" s="1273">
        <f>'Part IX A-Scoring Criteria'!O38</f>
        <v>0</v>
      </c>
      <c r="P1555" s="1273">
        <f>'Part IX A-Scoring Criteria'!P38</f>
        <v>0</v>
      </c>
      <c r="Q1555" s="1669"/>
      <c r="R1555" s="1669"/>
      <c r="S1555" s="1669"/>
    </row>
    <row r="1556" spans="1:19" ht="15.75">
      <c r="A1556" s="1218" t="s">
        <v>3530</v>
      </c>
      <c r="B1556" s="1668" t="s">
        <v>2064</v>
      </c>
      <c r="C1556" s="1183" t="s">
        <v>4079</v>
      </c>
      <c r="D1556" s="1669"/>
      <c r="E1556" s="1670">
        <v>3</v>
      </c>
      <c r="F1556" s="1183" t="s">
        <v>4078</v>
      </c>
      <c r="G1556" s="1669"/>
      <c r="H1556" s="1669"/>
      <c r="I1556" s="1271" t="s">
        <v>4080</v>
      </c>
      <c r="J1556" s="1669"/>
      <c r="K1556" s="1671">
        <f>O1630</f>
        <v>0</v>
      </c>
      <c r="L1556" s="1671">
        <f>P1630</f>
        <v>0</v>
      </c>
      <c r="M1556" s="484">
        <v>1</v>
      </c>
      <c r="N1556" s="1666" t="s">
        <v>2064</v>
      </c>
      <c r="O1556" s="1273">
        <f>'Part IX A-Scoring Criteria'!O39</f>
        <v>0</v>
      </c>
      <c r="P1556" s="3">
        <f>'Part IX A-Scoring Criteria'!P39</f>
        <v>0</v>
      </c>
      <c r="Q1556" s="1669"/>
      <c r="R1556" s="1669"/>
      <c r="S1556" s="1669"/>
    </row>
    <row r="1557" spans="1:19" ht="15">
      <c r="A1557" s="533"/>
      <c r="B1557" s="71" t="s">
        <v>1937</v>
      </c>
      <c r="C1557" s="1669"/>
      <c r="D1557" s="147"/>
      <c r="E1557" s="1400"/>
      <c r="F1557" s="1400"/>
      <c r="G1557" s="1400"/>
      <c r="H1557" s="1400"/>
      <c r="I1557" s="1400"/>
      <c r="J1557" s="1400"/>
      <c r="K1557" s="1400"/>
      <c r="L1557" s="1400"/>
      <c r="M1557" s="1400"/>
      <c r="N1557" s="1672"/>
      <c r="O1557" s="75"/>
      <c r="P1557" s="1190"/>
      <c r="Q1557" s="1669"/>
      <c r="R1557" s="56"/>
      <c r="S1557" s="56"/>
    </row>
    <row r="1558" spans="1:19" ht="15.75">
      <c r="A1558" s="1221">
        <f>'Part IX A-Scoring Criteria'!A41</f>
        <v>0</v>
      </c>
      <c r="B1558" s="1221"/>
      <c r="C1558" s="1221"/>
      <c r="D1558" s="1221"/>
      <c r="E1558" s="1221"/>
      <c r="F1558" s="1221"/>
      <c r="G1558" s="1221"/>
      <c r="H1558" s="1221"/>
      <c r="I1558" s="1221"/>
      <c r="J1558" s="1221"/>
      <c r="K1558" s="1221"/>
      <c r="L1558" s="1221"/>
      <c r="M1558" s="1221"/>
      <c r="N1558" s="1221"/>
      <c r="O1558" s="1221"/>
      <c r="P1558" s="1221"/>
      <c r="Q1558" s="1660" t="s">
        <v>1301</v>
      </c>
      <c r="R1558" s="56"/>
      <c r="S1558" s="56"/>
    </row>
    <row r="1559" spans="1:19">
      <c r="N1559" s="615"/>
      <c r="O1559" s="31"/>
      <c r="P1559" s="31"/>
    </row>
    <row r="1560" spans="1:19" ht="15" customHeight="1">
      <c r="A1560" s="1655" t="s">
        <v>2622</v>
      </c>
      <c r="B1560" s="112" t="s">
        <v>1945</v>
      </c>
      <c r="C1560" s="56"/>
      <c r="D1560" s="124"/>
      <c r="E1560" s="56"/>
      <c r="F1560" s="56"/>
      <c r="G1560" s="56"/>
      <c r="H1560" s="56"/>
      <c r="I1560" s="56"/>
      <c r="J1560" s="1511" t="s">
        <v>619</v>
      </c>
      <c r="K1560" s="1511"/>
      <c r="L1560" s="1511"/>
      <c r="M1560" s="1190">
        <v>13</v>
      </c>
      <c r="N1560" s="69"/>
      <c r="O1560" s="3">
        <f>'Part IX A-Scoring Criteria'!O43</f>
        <v>0</v>
      </c>
      <c r="P1560" s="3">
        <f>'Part IX A-Scoring Criteria'!P43</f>
        <v>0</v>
      </c>
      <c r="Q1560" s="1190" t="s">
        <v>456</v>
      </c>
      <c r="R1560" s="56"/>
      <c r="S1560" s="56"/>
    </row>
    <row r="1561" spans="1:19" ht="15">
      <c r="A1561" s="533"/>
      <c r="B1561" s="56"/>
      <c r="C1561" s="56"/>
      <c r="D1561" s="54"/>
      <c r="E1561" s="54"/>
      <c r="F1561" s="1190"/>
      <c r="G1561" s="1190"/>
      <c r="H1561" s="56"/>
      <c r="I1561" s="56"/>
      <c r="J1561" s="1511"/>
      <c r="K1561" s="1511"/>
      <c r="L1561" s="1511"/>
      <c r="M1561" s="1407"/>
      <c r="N1561" s="1190"/>
      <c r="O1561" s="31"/>
      <c r="P1561" s="3"/>
      <c r="Q1561" s="56"/>
      <c r="R1561" s="56"/>
      <c r="S1561" s="56"/>
    </row>
    <row r="1562" spans="1:19" ht="15">
      <c r="A1562" s="196" t="s">
        <v>2058</v>
      </c>
      <c r="B1562" s="1159" t="s">
        <v>1946</v>
      </c>
      <c r="C1562" s="10"/>
      <c r="D1562" s="10"/>
      <c r="E1562" s="573" t="s">
        <v>2825</v>
      </c>
      <c r="F1562" s="340"/>
      <c r="G1562" s="340"/>
      <c r="H1562" s="56"/>
      <c r="I1562" s="56"/>
      <c r="J1562" s="1511"/>
      <c r="K1562" s="1511"/>
      <c r="L1562" s="1511"/>
      <c r="M1562" s="484">
        <v>12</v>
      </c>
      <c r="N1562" s="1673" t="s">
        <v>2058</v>
      </c>
      <c r="O1562" s="3">
        <f>'Part IX A-Scoring Criteria'!O45</f>
        <v>0</v>
      </c>
      <c r="P1562" s="3">
        <f>'Part IX A-Scoring Criteria'!P45</f>
        <v>0</v>
      </c>
      <c r="Q1562" s="1571" t="s">
        <v>2811</v>
      </c>
      <c r="R1562" s="1663"/>
      <c r="S1562" s="56"/>
    </row>
    <row r="1563" spans="1:19" ht="15">
      <c r="A1563" s="196" t="s">
        <v>2061</v>
      </c>
      <c r="B1563" s="1159" t="s">
        <v>3631</v>
      </c>
      <c r="C1563" s="10"/>
      <c r="D1563" s="10"/>
      <c r="E1563" s="56"/>
      <c r="F1563" s="573" t="s">
        <v>3652</v>
      </c>
      <c r="G1563" s="56"/>
      <c r="H1563" s="340"/>
      <c r="I1563" s="573" t="s">
        <v>3653</v>
      </c>
      <c r="J1563" s="56"/>
      <c r="K1563" s="56"/>
      <c r="L1563" s="1674" t="s">
        <v>3632</v>
      </c>
      <c r="M1563" s="484">
        <v>1</v>
      </c>
      <c r="N1563" s="69" t="s">
        <v>2061</v>
      </c>
      <c r="O1563" s="3">
        <f>'Part IX A-Scoring Criteria'!O46</f>
        <v>0</v>
      </c>
      <c r="P1563" s="3">
        <f>'Part IX A-Scoring Criteria'!P46</f>
        <v>0</v>
      </c>
      <c r="Q1563" s="1571" t="s">
        <v>2811</v>
      </c>
      <c r="R1563" s="1663"/>
      <c r="S1563" s="56"/>
    </row>
    <row r="1564" spans="1:19" ht="15" customHeight="1">
      <c r="A1564" s="196"/>
      <c r="B1564" s="1511" t="s">
        <v>4081</v>
      </c>
      <c r="C1564" s="1511"/>
      <c r="D1564" s="1511"/>
      <c r="E1564" s="1511"/>
      <c r="F1564" s="573" t="str">
        <f>'Part IX A-Scoring Criteria'!F47</f>
        <v>&lt;&lt;Select Desirable Category&gt;&gt;</v>
      </c>
      <c r="G1564" s="573"/>
      <c r="H1564" s="573"/>
      <c r="I1564" s="573">
        <f>'Part IX A-Scoring Criteria'!I47</f>
        <v>0</v>
      </c>
      <c r="J1564" s="573"/>
      <c r="K1564" s="573"/>
      <c r="L1564" s="1675">
        <f>'Part IX A-Scoring Criteria'!L47</f>
        <v>0</v>
      </c>
      <c r="M1564" s="484"/>
      <c r="N1564" s="1673"/>
      <c r="O1564" s="1673"/>
      <c r="P1564" s="1673"/>
      <c r="Q1564" s="1571"/>
      <c r="R1564" s="1663"/>
      <c r="S1564" s="56"/>
    </row>
    <row r="1565" spans="1:19" ht="15">
      <c r="A1565" s="196"/>
      <c r="B1565" s="1511"/>
      <c r="C1565" s="1511"/>
      <c r="D1565" s="1511"/>
      <c r="E1565" s="1511"/>
      <c r="F1565" s="573" t="str">
        <f>'Part IX A-Scoring Criteria'!F48</f>
        <v>&lt;&lt;Select Desirable Category&gt;&gt;</v>
      </c>
      <c r="G1565" s="573"/>
      <c r="H1565" s="573"/>
      <c r="I1565" s="573">
        <f>'Part IX A-Scoring Criteria'!I48</f>
        <v>0</v>
      </c>
      <c r="J1565" s="573"/>
      <c r="K1565" s="573"/>
      <c r="L1565" s="1675">
        <f>'Part IX A-Scoring Criteria'!L48</f>
        <v>0</v>
      </c>
      <c r="M1565" s="484"/>
      <c r="N1565" s="1673"/>
      <c r="O1565" s="1673"/>
      <c r="P1565" s="1673"/>
      <c r="Q1565" s="1571"/>
      <c r="R1565" s="1663"/>
      <c r="S1565" s="56"/>
    </row>
    <row r="1566" spans="1:19" ht="15">
      <c r="A1566" s="196"/>
      <c r="B1566" s="1511"/>
      <c r="C1566" s="1511"/>
      <c r="D1566" s="1511"/>
      <c r="E1566" s="1511"/>
      <c r="F1566" s="573" t="str">
        <f>'Part IX A-Scoring Criteria'!F49</f>
        <v>&lt;&lt;Select Desirable Category&gt;&gt;</v>
      </c>
      <c r="G1566" s="573"/>
      <c r="H1566" s="573"/>
      <c r="I1566" s="573">
        <f>'Part IX A-Scoring Criteria'!I49</f>
        <v>0</v>
      </c>
      <c r="J1566" s="573"/>
      <c r="K1566" s="573"/>
      <c r="L1566" s="1675">
        <f>'Part IX A-Scoring Criteria'!L49</f>
        <v>0</v>
      </c>
      <c r="M1566" s="484"/>
      <c r="N1566" s="1673"/>
      <c r="O1566" s="1673"/>
      <c r="P1566" s="1673"/>
      <c r="Q1566" s="1571"/>
      <c r="R1566" s="1663"/>
      <c r="S1566" s="56"/>
    </row>
    <row r="1567" spans="1:19" ht="16.5">
      <c r="A1567" s="196" t="s">
        <v>779</v>
      </c>
      <c r="B1567" s="1159" t="s">
        <v>1947</v>
      </c>
      <c r="C1567" s="56"/>
      <c r="D1567" s="124"/>
      <c r="E1567" s="573" t="s">
        <v>442</v>
      </c>
      <c r="F1567" s="1676"/>
      <c r="G1567" s="1676"/>
      <c r="H1567" s="1676"/>
      <c r="I1567" s="56"/>
      <c r="J1567" s="56"/>
      <c r="K1567" s="56"/>
      <c r="L1567" s="56"/>
      <c r="M1567" s="1407" t="s">
        <v>1285</v>
      </c>
      <c r="N1567" s="69" t="s">
        <v>779</v>
      </c>
      <c r="O1567" s="3">
        <f>'Part IX A-Scoring Criteria'!O50</f>
        <v>0</v>
      </c>
      <c r="P1567" s="3">
        <f>'Part IX A-Scoring Criteria'!P50</f>
        <v>0</v>
      </c>
      <c r="Q1567" s="1571" t="s">
        <v>2811</v>
      </c>
      <c r="R1567" s="1663"/>
      <c r="S1567" s="56"/>
    </row>
    <row r="1568" spans="1:19" ht="15">
      <c r="A1568" s="533"/>
      <c r="B1568" s="71" t="s">
        <v>267</v>
      </c>
      <c r="C1568" s="533"/>
      <c r="D1568" s="109"/>
      <c r="E1568" s="109"/>
      <c r="F1568" s="109"/>
      <c r="G1568" s="109"/>
      <c r="H1568" s="54"/>
      <c r="I1568" s="54"/>
      <c r="J1568" s="54"/>
      <c r="K1568" s="54"/>
      <c r="L1568" s="56"/>
      <c r="M1568" s="484"/>
      <c r="N1568" s="615"/>
      <c r="O1568" s="3"/>
      <c r="P1568" s="31"/>
      <c r="Q1568" s="56"/>
      <c r="R1568" s="56"/>
      <c r="S1568" s="56"/>
    </row>
    <row r="1569" spans="1:19" ht="15.75">
      <c r="A1569" s="1221">
        <f>'Part IX A-Scoring Criteria'!A52</f>
        <v>0</v>
      </c>
      <c r="B1569" s="1221"/>
      <c r="C1569" s="1221"/>
      <c r="D1569" s="1221"/>
      <c r="E1569" s="1221"/>
      <c r="F1569" s="1221"/>
      <c r="G1569" s="1221"/>
      <c r="H1569" s="1221"/>
      <c r="I1569" s="1221"/>
      <c r="J1569" s="1221"/>
      <c r="K1569" s="1221"/>
      <c r="L1569" s="1221"/>
      <c r="M1569" s="1221"/>
      <c r="N1569" s="1221"/>
      <c r="O1569" s="1221"/>
      <c r="P1569" s="1221"/>
      <c r="Q1569" s="1660" t="s">
        <v>1301</v>
      </c>
      <c r="R1569" s="1660"/>
      <c r="S1569" s="56"/>
    </row>
    <row r="1570" spans="1:19" ht="15">
      <c r="A1570" s="533"/>
      <c r="B1570" s="71" t="s">
        <v>1937</v>
      </c>
      <c r="C1570" s="533"/>
      <c r="D1570" s="147"/>
      <c r="E1570" s="1400"/>
      <c r="F1570" s="1400"/>
      <c r="G1570" s="1400"/>
      <c r="H1570" s="1400"/>
      <c r="I1570" s="1400"/>
      <c r="J1570" s="1400"/>
      <c r="K1570" s="1400"/>
      <c r="L1570" s="1400"/>
      <c r="M1570" s="1400"/>
      <c r="N1570" s="1672"/>
      <c r="O1570" s="75"/>
      <c r="P1570" s="1190"/>
      <c r="Q1570" s="1669"/>
      <c r="R1570" s="1669"/>
      <c r="S1570" s="56"/>
    </row>
    <row r="1571" spans="1:19" ht="15.75">
      <c r="A1571" s="1221">
        <f>'Part IX A-Scoring Criteria'!A54</f>
        <v>0</v>
      </c>
      <c r="B1571" s="1221"/>
      <c r="C1571" s="1221"/>
      <c r="D1571" s="1221"/>
      <c r="E1571" s="1221"/>
      <c r="F1571" s="1221"/>
      <c r="G1571" s="1221"/>
      <c r="H1571" s="1221"/>
      <c r="I1571" s="1221"/>
      <c r="J1571" s="1221"/>
      <c r="K1571" s="1221"/>
      <c r="L1571" s="1221"/>
      <c r="M1571" s="1221"/>
      <c r="N1571" s="1221"/>
      <c r="O1571" s="1221"/>
      <c r="P1571" s="1221"/>
      <c r="Q1571" s="1660" t="s">
        <v>1301</v>
      </c>
      <c r="R1571" s="1660"/>
      <c r="S1571" s="56"/>
    </row>
    <row r="1572" spans="1:19">
      <c r="M1572" s="533"/>
      <c r="N1572" s="484"/>
      <c r="O1572" s="1190"/>
      <c r="P1572" s="1190"/>
    </row>
    <row r="1573" spans="1:19" ht="15">
      <c r="A1573" s="1655" t="s">
        <v>1270</v>
      </c>
      <c r="B1573" s="112" t="s">
        <v>2722</v>
      </c>
      <c r="C1573" s="56"/>
      <c r="D1573" s="124"/>
      <c r="E1573" s="56"/>
      <c r="F1573" s="56"/>
      <c r="G1573" s="56"/>
      <c r="H1573" s="62" t="s">
        <v>2777</v>
      </c>
      <c r="I1573" s="71" t="s">
        <v>1953</v>
      </c>
      <c r="J1573" s="109"/>
      <c r="K1573" s="109"/>
      <c r="L1573" s="56"/>
      <c r="M1573" s="1190">
        <v>5</v>
      </c>
      <c r="N1573" s="69"/>
      <c r="O1573" s="3">
        <f>'Part IX A-Scoring Criteria'!O56</f>
        <v>0</v>
      </c>
      <c r="P1573" s="3">
        <f>'Part IX A-Scoring Criteria'!P56</f>
        <v>0</v>
      </c>
      <c r="Q1573" s="1190" t="s">
        <v>456</v>
      </c>
      <c r="R1573" s="56"/>
      <c r="S1573" s="56"/>
    </row>
    <row r="1574" spans="1:19" ht="15">
      <c r="A1574" s="1655"/>
      <c r="B1574" s="54" t="s">
        <v>3913</v>
      </c>
      <c r="C1574" s="56"/>
      <c r="D1574" s="124"/>
      <c r="E1574" s="56"/>
      <c r="F1574" s="56"/>
      <c r="G1574" s="56"/>
      <c r="H1574" s="62"/>
      <c r="I1574" s="71"/>
      <c r="J1574" s="109"/>
      <c r="K1574" s="109"/>
      <c r="L1574" s="56"/>
      <c r="M1574" s="1190"/>
      <c r="N1574" s="69"/>
      <c r="O1574" s="1401" t="s">
        <v>3920</v>
      </c>
      <c r="P1574" s="1401" t="s">
        <v>3921</v>
      </c>
      <c r="Q1574" s="1190"/>
      <c r="R1574" s="56"/>
      <c r="S1574" s="56"/>
    </row>
    <row r="1575" spans="1:19" ht="15">
      <c r="A1575" s="1655"/>
      <c r="B1575" s="1677" t="s">
        <v>2062</v>
      </c>
      <c r="C1575" s="467" t="s">
        <v>3914</v>
      </c>
      <c r="D1575" s="124"/>
      <c r="E1575" s="56"/>
      <c r="F1575" s="56"/>
      <c r="G1575" s="56"/>
      <c r="H1575" s="62"/>
      <c r="I1575" s="71"/>
      <c r="J1575" s="109"/>
      <c r="K1575" s="109"/>
      <c r="L1575" s="56"/>
      <c r="M1575" s="1190"/>
      <c r="N1575" s="69"/>
      <c r="O1575" s="1218">
        <f>'Part IX A-Scoring Criteria'!O58</f>
        <v>0</v>
      </c>
      <c r="P1575" s="1218">
        <f>'Part IX A-Scoring Criteria'!P58</f>
        <v>0</v>
      </c>
      <c r="Q1575" s="1190"/>
      <c r="R1575" s="56"/>
      <c r="S1575" s="56"/>
    </row>
    <row r="1576" spans="1:19" ht="15">
      <c r="A1576" s="1655"/>
      <c r="B1576" s="1677" t="s">
        <v>2064</v>
      </c>
      <c r="C1576" s="467" t="s">
        <v>3915</v>
      </c>
      <c r="D1576" s="124"/>
      <c r="E1576" s="56"/>
      <c r="F1576" s="56"/>
      <c r="G1576" s="56"/>
      <c r="H1576" s="62"/>
      <c r="I1576" s="71"/>
      <c r="J1576" s="109"/>
      <c r="K1576" s="109"/>
      <c r="L1576" s="56"/>
      <c r="M1576" s="1190"/>
      <c r="N1576" s="69"/>
      <c r="O1576" s="69"/>
      <c r="P1576" s="1218">
        <f>'Part IX A-Scoring Criteria'!P59</f>
        <v>0</v>
      </c>
      <c r="Q1576" s="1190"/>
      <c r="R1576" s="56"/>
      <c r="S1576" s="56"/>
    </row>
    <row r="1577" spans="1:19" ht="15">
      <c r="A1577" s="1655"/>
      <c r="B1577" s="1677" t="s">
        <v>2622</v>
      </c>
      <c r="C1577" s="467" t="s">
        <v>3916</v>
      </c>
      <c r="D1577" s="124"/>
      <c r="E1577" s="56"/>
      <c r="F1577" s="56"/>
      <c r="G1577" s="56"/>
      <c r="H1577" s="62"/>
      <c r="I1577" s="71"/>
      <c r="J1577" s="109"/>
      <c r="K1577" s="109"/>
      <c r="L1577" s="56"/>
      <c r="M1577" s="1190"/>
      <c r="N1577" s="69"/>
      <c r="O1577" s="1218">
        <f>'Part IX A-Scoring Criteria'!O60</f>
        <v>0</v>
      </c>
      <c r="P1577" s="1218">
        <f>'Part IX A-Scoring Criteria'!P60</f>
        <v>0</v>
      </c>
      <c r="Q1577" s="1190"/>
      <c r="R1577" s="56"/>
      <c r="S1577" s="56"/>
    </row>
    <row r="1578" spans="1:19" ht="15" customHeight="1">
      <c r="A1578" s="1655"/>
      <c r="B1578" s="1677" t="s">
        <v>1270</v>
      </c>
      <c r="C1578" s="1616" t="s">
        <v>3917</v>
      </c>
      <c r="D1578" s="1616"/>
      <c r="E1578" s="1616"/>
      <c r="F1578" s="1616"/>
      <c r="G1578" s="1616"/>
      <c r="H1578" s="1616"/>
      <c r="I1578" s="1616"/>
      <c r="J1578" s="1616"/>
      <c r="K1578" s="1616"/>
      <c r="L1578" s="1616"/>
      <c r="M1578" s="1616"/>
      <c r="N1578" s="69"/>
      <c r="O1578" s="1218">
        <f>'Part IX A-Scoring Criteria'!O61</f>
        <v>0</v>
      </c>
      <c r="P1578" s="1218">
        <f>'Part IX A-Scoring Criteria'!P61</f>
        <v>0</v>
      </c>
      <c r="Q1578" s="1190"/>
      <c r="R1578" s="56"/>
      <c r="S1578" s="56"/>
    </row>
    <row r="1579" spans="1:19" ht="15">
      <c r="A1579" s="1655"/>
      <c r="B1579" s="1677" t="s">
        <v>1271</v>
      </c>
      <c r="C1579" s="467" t="s">
        <v>3918</v>
      </c>
      <c r="D1579" s="124"/>
      <c r="E1579" s="56"/>
      <c r="F1579" s="56"/>
      <c r="G1579" s="56"/>
      <c r="H1579" s="62"/>
      <c r="I1579" s="71"/>
      <c r="J1579" s="109"/>
      <c r="K1579" s="109"/>
      <c r="L1579" s="56"/>
      <c r="M1579" s="1190"/>
      <c r="N1579" s="69"/>
      <c r="O1579" s="1218">
        <f>'Part IX A-Scoring Criteria'!O62</f>
        <v>0</v>
      </c>
      <c r="P1579" s="1218">
        <f>'Part IX A-Scoring Criteria'!P62</f>
        <v>0</v>
      </c>
      <c r="Q1579" s="1190"/>
      <c r="R1579" s="56"/>
      <c r="S1579" s="56"/>
    </row>
    <row r="1580" spans="1:19" ht="15">
      <c r="A1580" s="1655"/>
      <c r="B1580" s="1677" t="s">
        <v>1955</v>
      </c>
      <c r="C1580" s="467" t="s">
        <v>3919</v>
      </c>
      <c r="D1580" s="124"/>
      <c r="E1580" s="56"/>
      <c r="F1580" s="56"/>
      <c r="G1580" s="56"/>
      <c r="H1580" s="62"/>
      <c r="I1580" s="71"/>
      <c r="J1580" s="109"/>
      <c r="K1580" s="109"/>
      <c r="L1580" s="56"/>
      <c r="M1580" s="1190"/>
      <c r="N1580" s="69"/>
      <c r="O1580" s="1218">
        <f>'Part IX A-Scoring Criteria'!O63</f>
        <v>0</v>
      </c>
      <c r="P1580" s="1218">
        <f>'Part IX A-Scoring Criteria'!P63</f>
        <v>0</v>
      </c>
      <c r="Q1580" s="1190"/>
      <c r="R1580" s="56"/>
      <c r="S1580" s="56"/>
    </row>
    <row r="1581" spans="1:19" ht="15">
      <c r="A1581" s="1655"/>
      <c r="B1581" s="112"/>
      <c r="C1581" s="56"/>
      <c r="D1581" s="124"/>
      <c r="E1581" s="56"/>
      <c r="F1581" s="56"/>
      <c r="G1581" s="56"/>
      <c r="H1581" s="62"/>
      <c r="I1581" s="71"/>
      <c r="J1581" s="109"/>
      <c r="K1581" s="109"/>
      <c r="L1581" s="56"/>
      <c r="M1581" s="1190"/>
      <c r="N1581" s="69"/>
      <c r="O1581" s="3"/>
      <c r="P1581" s="3"/>
      <c r="Q1581" s="1190"/>
      <c r="R1581" s="56"/>
      <c r="S1581" s="56"/>
    </row>
    <row r="1582" spans="1:19" ht="15">
      <c r="A1582" s="1678" t="s">
        <v>2904</v>
      </c>
      <c r="B1582" s="112"/>
      <c r="C1582" s="56"/>
      <c r="D1582" s="124"/>
      <c r="E1582" s="56"/>
      <c r="F1582" s="56"/>
      <c r="G1582" s="56"/>
      <c r="H1582" s="1159" t="s">
        <v>2913</v>
      </c>
      <c r="I1582" s="1574"/>
      <c r="J1582" s="1159" t="str">
        <f>'Part I-Project Information'!$H$90</f>
        <v>N/A - 4% Bond</v>
      </c>
      <c r="K1582" s="56"/>
      <c r="M1582" s="1190"/>
      <c r="N1582" s="1190"/>
      <c r="O1582" s="1190"/>
      <c r="P1582" s="1190"/>
      <c r="Q1582" s="1190"/>
      <c r="R1582" s="56"/>
      <c r="S1582" s="56"/>
    </row>
    <row r="1583" spans="1:19" ht="15" customHeight="1">
      <c r="A1583" s="781" t="s">
        <v>2058</v>
      </c>
      <c r="B1583" s="1482" t="s">
        <v>3926</v>
      </c>
      <c r="C1583" s="1482"/>
      <c r="D1583" s="1482"/>
      <c r="E1583" s="1482"/>
      <c r="F1583" s="1482"/>
      <c r="G1583" s="1482"/>
      <c r="H1583" s="1482"/>
      <c r="I1583" s="1511" t="s">
        <v>4235</v>
      </c>
      <c r="J1583" s="1511"/>
      <c r="K1583" s="1511"/>
      <c r="L1583" s="1511"/>
      <c r="M1583" s="613">
        <v>5</v>
      </c>
      <c r="N1583" s="1666" t="s">
        <v>2058</v>
      </c>
      <c r="O1583" s="3">
        <f>'Part IX A-Scoring Criteria'!O66</f>
        <v>0</v>
      </c>
      <c r="P1583" s="3">
        <f>'Part IX A-Scoring Criteria'!P66</f>
        <v>0</v>
      </c>
      <c r="Q1583" s="1679" t="str">
        <f>IF(OR($O1583=$M1583,$O1583=0,$O1583=""),"","* * Check Score! * *")</f>
        <v/>
      </c>
      <c r="R1583" s="1571" t="s">
        <v>2811</v>
      </c>
      <c r="S1583" s="1162"/>
    </row>
    <row r="1584" spans="1:19" ht="15">
      <c r="A1584" s="781" t="s">
        <v>2061</v>
      </c>
      <c r="B1584" s="1680" t="s">
        <v>4236</v>
      </c>
      <c r="C1584" s="1680"/>
      <c r="D1584" s="1680"/>
      <c r="E1584" s="1680"/>
      <c r="F1584" s="1680"/>
      <c r="G1584" s="1680"/>
      <c r="H1584" s="1680"/>
      <c r="I1584" s="1681" t="str">
        <f>'Part IX A-Scoring Criteria'!I67</f>
        <v>&lt;&lt; Enter transit agency name here &gt;&gt;</v>
      </c>
      <c r="J1584" s="1681"/>
      <c r="K1584" s="1681"/>
      <c r="L1584" s="1682" t="str">
        <f>'Part IX A-Scoring Criteria'!L67</f>
        <v>&lt;&lt; Enter Agency phone here &gt;&gt;</v>
      </c>
      <c r="M1584" s="613">
        <v>4</v>
      </c>
      <c r="N1584" s="236" t="s">
        <v>2061</v>
      </c>
      <c r="O1584" s="3">
        <f>'Part IX A-Scoring Criteria'!O67</f>
        <v>0</v>
      </c>
      <c r="P1584" s="3">
        <f>'Part IX A-Scoring Criteria'!P67</f>
        <v>0</v>
      </c>
      <c r="Q1584" s="1679" t="str">
        <f>IF(OR($O1584=$M1584,$O1584=0,$O1584=""),"","* * Check Score! * *")</f>
        <v/>
      </c>
      <c r="R1584" s="1571" t="s">
        <v>2811</v>
      </c>
      <c r="S1584" s="1162"/>
    </row>
    <row r="1585" spans="1:19" ht="15" customHeight="1">
      <c r="A1585" s="196" t="s">
        <v>779</v>
      </c>
      <c r="B1585" s="109" t="s">
        <v>4237</v>
      </c>
      <c r="C1585" s="1680"/>
      <c r="D1585" s="1680"/>
      <c r="E1585" s="1680"/>
      <c r="F1585" s="1680"/>
      <c r="G1585" s="1680"/>
      <c r="H1585" s="1680"/>
      <c r="I1585" s="1459" t="str">
        <f>'Part IX A-Scoring Criteria'!I68</f>
        <v>&lt;&lt; Enter specific URL/webpage showing established schedule from transit agency website here &gt;&gt;</v>
      </c>
      <c r="J1585" s="1459"/>
      <c r="K1585" s="1459"/>
      <c r="L1585" s="1459"/>
      <c r="M1585" s="613">
        <v>3</v>
      </c>
      <c r="N1585" s="1673" t="s">
        <v>779</v>
      </c>
      <c r="O1585" s="3">
        <f>'Part IX A-Scoring Criteria'!O68</f>
        <v>0</v>
      </c>
      <c r="P1585" s="3">
        <f>'Part IX A-Scoring Criteria'!P68</f>
        <v>0</v>
      </c>
      <c r="Q1585" s="1679" t="str">
        <f>IF(OR($O1585=$M1585,$O1585=0,$O1585=""),"","* * Check Score! * *")</f>
        <v/>
      </c>
      <c r="R1585" s="1571" t="s">
        <v>2811</v>
      </c>
      <c r="S1585" s="1162"/>
    </row>
    <row r="1586" spans="1:19" ht="15">
      <c r="A1586" s="196" t="s">
        <v>2193</v>
      </c>
      <c r="B1586" s="109" t="s">
        <v>4238</v>
      </c>
      <c r="C1586" s="56"/>
      <c r="D1586" s="56"/>
      <c r="E1586" s="124"/>
      <c r="F1586" s="56"/>
      <c r="G1586" s="56"/>
      <c r="H1586" s="56"/>
      <c r="I1586" s="1459"/>
      <c r="J1586" s="1459"/>
      <c r="K1586" s="1459"/>
      <c r="L1586" s="1459"/>
      <c r="M1586" s="484">
        <v>2</v>
      </c>
      <c r="N1586" s="1673" t="s">
        <v>2193</v>
      </c>
      <c r="O1586" s="3">
        <f>'Part IX A-Scoring Criteria'!O69</f>
        <v>0</v>
      </c>
      <c r="P1586" s="3">
        <f>'Part IX A-Scoring Criteria'!P69</f>
        <v>0</v>
      </c>
      <c r="Q1586" s="1663" t="str">
        <f>IF(OR($O1586=$M1586,$O1586=0,$O1586=""),"","* * Check Score! * *")</f>
        <v/>
      </c>
      <c r="R1586" s="1571" t="s">
        <v>2811</v>
      </c>
      <c r="S1586" s="56"/>
    </row>
    <row r="1587" spans="1:19" ht="15" customHeight="1">
      <c r="A1587" s="196" t="s">
        <v>1801</v>
      </c>
      <c r="B1587" s="1680" t="s">
        <v>4239</v>
      </c>
      <c r="C1587" s="56"/>
      <c r="D1587" s="56"/>
      <c r="E1587" s="124"/>
      <c r="F1587" s="56"/>
      <c r="G1587" s="56"/>
      <c r="H1587" s="56"/>
      <c r="I1587" s="1459" t="str">
        <f>'Part IX A-Scoring Criteria'!I70</f>
        <v>&lt;&lt; Enter specific URL/webpage showing established routes from transit agency website (if different) here &gt;&gt;</v>
      </c>
      <c r="J1587" s="1459"/>
      <c r="K1587" s="1459"/>
      <c r="L1587" s="1459"/>
      <c r="M1587" s="484">
        <v>1</v>
      </c>
      <c r="N1587" s="1673" t="s">
        <v>1801</v>
      </c>
      <c r="O1587" s="3">
        <f>'Part IX A-Scoring Criteria'!O70</f>
        <v>0</v>
      </c>
      <c r="P1587" s="3">
        <f>'Part IX A-Scoring Criteria'!P70</f>
        <v>0</v>
      </c>
      <c r="Q1587" s="1663" t="str">
        <f>IF(OR($O1587=$M1587,$O1587=0,$O1587=""),"","* * Check Score! * *")</f>
        <v/>
      </c>
      <c r="R1587" s="1571" t="s">
        <v>2811</v>
      </c>
      <c r="S1587" s="56"/>
    </row>
    <row r="1588" spans="1:19" ht="15">
      <c r="A1588" s="1678" t="s">
        <v>2906</v>
      </c>
      <c r="B1588" s="1159"/>
      <c r="C1588" s="56"/>
      <c r="D1588" s="56"/>
      <c r="E1588" s="124"/>
      <c r="F1588" s="56"/>
      <c r="G1588" s="56"/>
      <c r="H1588" s="56"/>
      <c r="I1588" s="1459"/>
      <c r="J1588" s="1459"/>
      <c r="K1588" s="1459"/>
      <c r="L1588" s="1459"/>
      <c r="M1588" s="484"/>
      <c r="N1588" s="484"/>
      <c r="O1588" s="484"/>
      <c r="P1588" s="484"/>
      <c r="Q1588" s="1663"/>
      <c r="R1588" s="1663"/>
      <c r="S1588" s="56"/>
    </row>
    <row r="1589" spans="1:19" ht="15">
      <c r="A1589" s="196" t="s">
        <v>1802</v>
      </c>
      <c r="B1589" s="1159" t="s">
        <v>4240</v>
      </c>
      <c r="C1589" s="1159"/>
      <c r="D1589" s="1159"/>
      <c r="E1589" s="1159"/>
      <c r="F1589" s="1159"/>
      <c r="G1589" s="1159"/>
      <c r="H1589" s="1159"/>
      <c r="I1589" s="1159"/>
      <c r="J1589" s="1159"/>
      <c r="K1589" s="1159"/>
      <c r="L1589" s="1159"/>
      <c r="M1589" s="484">
        <v>2</v>
      </c>
      <c r="N1589" s="1673" t="s">
        <v>1802</v>
      </c>
      <c r="O1589" s="3">
        <f>'Part IX A-Scoring Criteria'!O72</f>
        <v>0</v>
      </c>
      <c r="P1589" s="3">
        <f>'Part IX A-Scoring Criteria'!P72</f>
        <v>0</v>
      </c>
      <c r="Q1589" s="1663" t="str">
        <f>IF(OR($O1589=$M1589,$O1589=0,$O1589=""),"","* * Check Score! * *")</f>
        <v/>
      </c>
      <c r="R1589" s="1571" t="s">
        <v>2811</v>
      </c>
      <c r="S1589" s="98"/>
    </row>
    <row r="1590" spans="1:19" ht="15">
      <c r="A1590" s="54" t="s">
        <v>4172</v>
      </c>
      <c r="B1590" s="1159"/>
      <c r="C1590" s="56"/>
      <c r="D1590" s="56"/>
      <c r="E1590" s="124"/>
      <c r="F1590" s="56"/>
      <c r="G1590" s="56"/>
      <c r="H1590" s="56"/>
      <c r="I1590" s="56"/>
      <c r="J1590" s="56"/>
      <c r="K1590" s="109"/>
      <c r="L1590" s="56"/>
      <c r="M1590" s="484"/>
      <c r="N1590" s="484"/>
      <c r="O1590" s="484"/>
      <c r="P1590" s="484"/>
      <c r="Q1590" s="1663"/>
      <c r="R1590" s="1663"/>
      <c r="S1590" s="56"/>
    </row>
    <row r="1591" spans="1:19" ht="15">
      <c r="A1591" s="533"/>
      <c r="B1591" s="71" t="s">
        <v>267</v>
      </c>
      <c r="C1591" s="533"/>
      <c r="D1591" s="109"/>
      <c r="E1591" s="109"/>
      <c r="F1591" s="109"/>
      <c r="G1591" s="109"/>
      <c r="H1591" s="54"/>
      <c r="I1591" s="54"/>
      <c r="J1591" s="54"/>
      <c r="K1591" s="54"/>
      <c r="L1591" s="98"/>
      <c r="M1591" s="484"/>
      <c r="N1591" s="484"/>
      <c r="O1591" s="3"/>
      <c r="P1591" s="1190"/>
      <c r="Q1591" s="98"/>
      <c r="R1591" s="98"/>
      <c r="S1591" s="98"/>
    </row>
    <row r="1592" spans="1:19" ht="15.75">
      <c r="A1592" s="1221">
        <f>'Part IX A-Scoring Criteria'!A75</f>
        <v>0</v>
      </c>
      <c r="B1592" s="1221"/>
      <c r="C1592" s="1221"/>
      <c r="D1592" s="1221"/>
      <c r="E1592" s="1221"/>
      <c r="F1592" s="1221"/>
      <c r="G1592" s="1221"/>
      <c r="H1592" s="1221"/>
      <c r="I1592" s="1221"/>
      <c r="J1592" s="1221"/>
      <c r="K1592" s="1221"/>
      <c r="L1592" s="1221"/>
      <c r="M1592" s="1221"/>
      <c r="N1592" s="1221"/>
      <c r="O1592" s="1221"/>
      <c r="P1592" s="1221"/>
      <c r="Q1592" s="1660" t="s">
        <v>1301</v>
      </c>
      <c r="R1592" s="56"/>
      <c r="S1592" s="56"/>
    </row>
    <row r="1593" spans="1:19" ht="15">
      <c r="A1593" s="533"/>
      <c r="B1593" s="71" t="s">
        <v>1937</v>
      </c>
      <c r="C1593" s="533"/>
      <c r="D1593" s="147"/>
      <c r="E1593" s="1400"/>
      <c r="F1593" s="1400"/>
      <c r="G1593" s="1400"/>
      <c r="H1593" s="1400"/>
      <c r="I1593" s="1400"/>
      <c r="J1593" s="1400"/>
      <c r="K1593" s="1400"/>
      <c r="L1593" s="1400"/>
      <c r="M1593" s="1400"/>
      <c r="N1593" s="1672"/>
      <c r="O1593" s="75"/>
      <c r="P1593" s="1190"/>
      <c r="Q1593" s="1669"/>
      <c r="R1593" s="98"/>
      <c r="S1593" s="98"/>
    </row>
    <row r="1594" spans="1:19" ht="15.75">
      <c r="A1594" s="1221">
        <f>'Part IX A-Scoring Criteria'!A77</f>
        <v>0</v>
      </c>
      <c r="B1594" s="1221"/>
      <c r="C1594" s="1221"/>
      <c r="D1594" s="1221"/>
      <c r="E1594" s="1221"/>
      <c r="F1594" s="1221"/>
      <c r="G1594" s="1221"/>
      <c r="H1594" s="1221"/>
      <c r="I1594" s="1221"/>
      <c r="J1594" s="1221"/>
      <c r="K1594" s="1221"/>
      <c r="L1594" s="1221"/>
      <c r="M1594" s="1221"/>
      <c r="N1594" s="1221"/>
      <c r="O1594" s="1221"/>
      <c r="P1594" s="1221"/>
      <c r="Q1594" s="1660" t="s">
        <v>1301</v>
      </c>
      <c r="R1594" s="56"/>
      <c r="S1594" s="56"/>
    </row>
    <row r="1595" spans="1:19" ht="15">
      <c r="A1595" s="1683"/>
      <c r="B1595" s="1684"/>
      <c r="C1595" s="56"/>
      <c r="D1595" s="56"/>
      <c r="E1595" s="56"/>
      <c r="F1595" s="56"/>
      <c r="G1595" s="124"/>
      <c r="H1595" s="56"/>
      <c r="I1595" s="56"/>
      <c r="J1595" s="109"/>
      <c r="K1595" s="109"/>
      <c r="L1595" s="56"/>
      <c r="M1595" s="98"/>
      <c r="N1595" s="1684"/>
      <c r="O1595" s="98"/>
      <c r="P1595" s="98"/>
      <c r="Q1595" s="56"/>
      <c r="R1595" s="56"/>
      <c r="S1595" s="56"/>
    </row>
    <row r="1596" spans="1:19" ht="15">
      <c r="A1596" s="1655" t="s">
        <v>1271</v>
      </c>
      <c r="B1596" s="112" t="s">
        <v>2723</v>
      </c>
      <c r="C1596" s="56"/>
      <c r="D1596" s="124"/>
      <c r="E1596" s="54" t="s">
        <v>1434</v>
      </c>
      <c r="F1596" s="56"/>
      <c r="G1596" s="56"/>
      <c r="H1596" s="56"/>
      <c r="I1596" s="71" t="s">
        <v>1953</v>
      </c>
      <c r="J1596" s="56"/>
      <c r="K1596" s="56"/>
      <c r="L1596" s="56"/>
      <c r="M1596" s="1190">
        <v>2</v>
      </c>
      <c r="N1596" s="1685" t="str">
        <f>IF(OR($O1596=$M1596,$O1596=0,$O1596=""),"","***")</f>
        <v/>
      </c>
      <c r="O1596" s="3">
        <f>'Part IX A-Scoring Criteria'!O79</f>
        <v>0</v>
      </c>
      <c r="P1596" s="3">
        <f>'Part IX A-Scoring Criteria'!P79</f>
        <v>0</v>
      </c>
      <c r="Q1596" s="1190" t="s">
        <v>456</v>
      </c>
      <c r="R1596" s="1571" t="s">
        <v>2811</v>
      </c>
      <c r="S1596" s="56"/>
    </row>
    <row r="1597" spans="1:19" ht="15">
      <c r="A1597" s="781" t="s">
        <v>2058</v>
      </c>
      <c r="B1597" s="581" t="s">
        <v>2714</v>
      </c>
      <c r="C1597" s="56"/>
      <c r="D1597" s="124"/>
      <c r="E1597" s="54"/>
      <c r="F1597" s="56"/>
      <c r="G1597" s="56"/>
      <c r="H1597" s="56"/>
      <c r="I1597" s="56"/>
      <c r="J1597" s="56"/>
      <c r="K1597" s="54">
        <f>'Part IX A-Scoring Criteria'!K80</f>
        <v>0</v>
      </c>
      <c r="L1597" s="54"/>
      <c r="M1597" s="54"/>
      <c r="N1597" s="56"/>
      <c r="O1597" s="56"/>
      <c r="P1597" s="69"/>
      <c r="Q1597" s="1190"/>
      <c r="R1597" s="56"/>
      <c r="S1597" s="56"/>
    </row>
    <row r="1598" spans="1:19" ht="15">
      <c r="A1598" s="781" t="s">
        <v>2061</v>
      </c>
      <c r="B1598" s="581" t="s">
        <v>3654</v>
      </c>
      <c r="C1598" s="56"/>
      <c r="D1598" s="124"/>
      <c r="E1598" s="54"/>
      <c r="F1598" s="56"/>
      <c r="G1598" s="56"/>
      <c r="H1598" s="56"/>
      <c r="I1598" s="56"/>
      <c r="J1598" s="56"/>
      <c r="K1598" s="54">
        <f>'Part IX A-Scoring Criteria'!K81</f>
        <v>0</v>
      </c>
      <c r="L1598" s="54"/>
      <c r="M1598" s="54"/>
      <c r="N1598" s="56"/>
      <c r="O1598" s="600" t="s">
        <v>2597</v>
      </c>
      <c r="P1598" s="600" t="s">
        <v>2597</v>
      </c>
      <c r="Q1598" s="1190"/>
      <c r="R1598" s="56"/>
      <c r="S1598" s="56"/>
    </row>
    <row r="1599" spans="1:19" ht="15">
      <c r="A1599" s="196" t="s">
        <v>779</v>
      </c>
      <c r="B1599" s="581" t="s">
        <v>3746</v>
      </c>
      <c r="C1599" s="56"/>
      <c r="D1599" s="124"/>
      <c r="E1599" s="54"/>
      <c r="F1599" s="56"/>
      <c r="G1599" s="56"/>
      <c r="H1599" s="56"/>
      <c r="I1599" s="56"/>
      <c r="J1599" s="56"/>
      <c r="K1599" s="56"/>
      <c r="L1599" s="56"/>
      <c r="M1599" s="56"/>
      <c r="N1599" s="1673" t="s">
        <v>779</v>
      </c>
      <c r="O1599" s="1218">
        <f>'Part IX A-Scoring Criteria'!O82</f>
        <v>0</v>
      </c>
      <c r="P1599" s="1218">
        <f>'Part IX A-Scoring Criteria'!P82</f>
        <v>0</v>
      </c>
      <c r="Q1599" s="1190"/>
      <c r="R1599" s="56"/>
      <c r="S1599" s="56"/>
    </row>
    <row r="1600" spans="1:19" ht="15">
      <c r="A1600" s="533"/>
      <c r="B1600" s="71" t="s">
        <v>1937</v>
      </c>
      <c r="C1600" s="533"/>
      <c r="D1600" s="71"/>
      <c r="E1600" s="1403"/>
      <c r="F1600" s="1403"/>
      <c r="G1600" s="1403"/>
      <c r="H1600" s="1403"/>
      <c r="I1600" s="1403"/>
      <c r="J1600" s="1403"/>
      <c r="K1600" s="1403"/>
      <c r="L1600" s="1403"/>
      <c r="M1600" s="1403"/>
      <c r="N1600" s="1631"/>
      <c r="O1600" s="1163"/>
      <c r="P1600" s="1190"/>
      <c r="Q1600" s="1669"/>
      <c r="R1600" s="98"/>
      <c r="S1600" s="98"/>
    </row>
    <row r="1601" spans="1:19" ht="15.75">
      <c r="A1601" s="1221">
        <f>'Part IX A-Scoring Criteria'!A84</f>
        <v>0</v>
      </c>
      <c r="B1601" s="1221"/>
      <c r="C1601" s="1221"/>
      <c r="D1601" s="1221"/>
      <c r="E1601" s="1221"/>
      <c r="F1601" s="1221"/>
      <c r="G1601" s="1221"/>
      <c r="H1601" s="1221"/>
      <c r="I1601" s="1221"/>
      <c r="J1601" s="1221"/>
      <c r="K1601" s="1221"/>
      <c r="L1601" s="1221"/>
      <c r="M1601" s="1221"/>
      <c r="N1601" s="1221"/>
      <c r="O1601" s="1221"/>
      <c r="P1601" s="1221"/>
      <c r="Q1601" s="1660" t="s">
        <v>1301</v>
      </c>
      <c r="R1601" s="56"/>
      <c r="S1601" s="56"/>
    </row>
    <row r="1602" spans="1:19" ht="15">
      <c r="N1602" s="615"/>
      <c r="O1602" s="31"/>
      <c r="P1602" s="31"/>
      <c r="R1602" s="56"/>
    </row>
    <row r="1603" spans="1:19" s="44" customFormat="1" ht="12.6" customHeight="1">
      <c r="A1603" s="165" t="s">
        <v>1955</v>
      </c>
      <c r="B1603" s="112" t="s">
        <v>223</v>
      </c>
      <c r="D1603" s="37"/>
      <c r="E1603" s="37"/>
      <c r="M1603" s="1397">
        <v>3</v>
      </c>
      <c r="N1603" s="1685"/>
      <c r="O1603" s="3">
        <f>'Part IX A-Scoring Criteria'!O86</f>
        <v>0</v>
      </c>
      <c r="P1603" s="3">
        <f>'Part IX A-Scoring Criteria'!P86</f>
        <v>0</v>
      </c>
      <c r="Q1603" s="1397" t="s">
        <v>456</v>
      </c>
    </row>
    <row r="1604" spans="1:19" s="44" customFormat="1" ht="12.6" customHeight="1">
      <c r="A1604" s="165"/>
      <c r="B1604" s="41" t="s">
        <v>3699</v>
      </c>
      <c r="H1604" s="56"/>
      <c r="I1604" s="466" t="str">
        <f>'Part IX A-Scoring Criteria'!I87</f>
        <v>&lt;Select a Sust Devlpmt Certification&gt;</v>
      </c>
      <c r="J1604" s="466"/>
      <c r="K1604" s="466"/>
      <c r="L1604" s="56"/>
      <c r="M1604" s="1190"/>
      <c r="N1604" s="1685"/>
      <c r="O1604" s="484"/>
      <c r="P1604" s="484"/>
      <c r="Q1604" s="1397"/>
    </row>
    <row r="1605" spans="1:19" s="44" customFormat="1" ht="12.6" customHeight="1">
      <c r="A1605" s="165"/>
      <c r="B1605" s="92" t="s">
        <v>2913</v>
      </c>
      <c r="G1605" s="42"/>
      <c r="H1605" s="124"/>
      <c r="I1605" s="234" t="str">
        <f>'Part I-Project Information'!$H$90</f>
        <v>N/A - 4% Bond</v>
      </c>
      <c r="J1605" s="56"/>
      <c r="K1605" s="531"/>
      <c r="L1605" s="56"/>
      <c r="M1605" s="1190"/>
      <c r="N1605" s="1685"/>
      <c r="O1605" s="600" t="s">
        <v>2597</v>
      </c>
      <c r="P1605" s="600" t="s">
        <v>2597</v>
      </c>
      <c r="Q1605" s="1397"/>
    </row>
    <row r="1606" spans="1:19" s="44" customFormat="1" ht="6" customHeight="1">
      <c r="A1606" s="165"/>
      <c r="B1606" s="92"/>
      <c r="G1606" s="42"/>
      <c r="H1606" s="124"/>
      <c r="I1606" s="234"/>
      <c r="J1606" s="56"/>
      <c r="K1606" s="531"/>
      <c r="L1606" s="56"/>
      <c r="M1606" s="1190"/>
      <c r="N1606" s="1685"/>
      <c r="O1606" s="600"/>
      <c r="P1606" s="600"/>
      <c r="Q1606" s="1397"/>
    </row>
    <row r="1607" spans="1:19" s="44" customFormat="1" ht="12.6" customHeight="1">
      <c r="B1607" s="1686" t="s">
        <v>4082</v>
      </c>
      <c r="C1607" s="1687"/>
      <c r="D1607" s="1687"/>
      <c r="E1607" s="1687"/>
      <c r="F1607" s="1688"/>
      <c r="G1607" s="482" t="s">
        <v>4083</v>
      </c>
      <c r="H1607" s="1689">
        <f>'Part IX A-Scoring Criteria'!H90</f>
        <v>0</v>
      </c>
      <c r="I1607" s="1690" t="str">
        <f>'Part IX A-Scoring Criteria'!I90</f>
        <v>&lt;&lt;Enter Participant 's Name here&gt;&gt;</v>
      </c>
      <c r="J1607" s="1690"/>
      <c r="K1607" s="1690" t="str">
        <f>'Part IX A-Scoring Criteria'!K90</f>
        <v>&lt;&lt;Enter Participant 's Company Name here&gt;&gt;</v>
      </c>
      <c r="L1607" s="1690"/>
      <c r="M1607" s="1690"/>
      <c r="N1607" s="192"/>
      <c r="O1607" s="1218">
        <f>'Part IX A-Scoring Criteria'!O90</f>
        <v>0</v>
      </c>
      <c r="P1607" s="1218">
        <f>'Part IX A-Scoring Criteria'!P90</f>
        <v>0</v>
      </c>
      <c r="Q1607" s="1397"/>
    </row>
    <row r="1608" spans="1:19" s="158" customFormat="1" ht="11.45" customHeight="1">
      <c r="B1608" s="1691"/>
      <c r="C1608" s="1692"/>
      <c r="D1608" s="1692"/>
      <c r="E1608" s="1692"/>
      <c r="F1608" s="1693"/>
      <c r="G1608" s="482" t="s">
        <v>4083</v>
      </c>
      <c r="H1608" s="1689">
        <f>'Part IX A-Scoring Criteria'!H91</f>
        <v>0</v>
      </c>
      <c r="I1608" s="1690" t="str">
        <f>'Part IX A-Scoring Criteria'!I91</f>
        <v>&lt;&lt;Enter Participant 's Name here&gt;&gt;</v>
      </c>
      <c r="J1608" s="1690"/>
      <c r="K1608" s="1690" t="str">
        <f>'Part IX A-Scoring Criteria'!K91</f>
        <v>&lt;&lt;Enter Participant 's Company Name here&gt;&gt;</v>
      </c>
      <c r="L1608" s="1690"/>
      <c r="M1608" s="1690"/>
    </row>
    <row r="1609" spans="1:19" s="44" customFormat="1" ht="12.6" customHeight="1">
      <c r="A1609" s="165"/>
      <c r="B1609" s="1694" t="s">
        <v>4179</v>
      </c>
      <c r="G1609" s="42"/>
      <c r="H1609" s="124"/>
      <c r="I1609" s="234"/>
      <c r="J1609" s="56"/>
      <c r="K1609" s="531"/>
      <c r="L1609" s="56"/>
      <c r="M1609" s="1190"/>
      <c r="N1609" s="1685"/>
      <c r="O1609" s="1218">
        <f>'Part IX A-Scoring Criteria'!O92</f>
        <v>0</v>
      </c>
      <c r="P1609" s="1218">
        <f>'Part IX A-Scoring Criteria'!P92</f>
        <v>0</v>
      </c>
      <c r="Q1609" s="1397"/>
    </row>
    <row r="1610" spans="1:19" s="44" customFormat="1" ht="12.6" customHeight="1">
      <c r="A1610" s="165"/>
      <c r="B1610" s="92" t="s">
        <v>4187</v>
      </c>
      <c r="G1610" s="42"/>
      <c r="H1610" s="124"/>
      <c r="I1610" s="1571" t="s">
        <v>4188</v>
      </c>
      <c r="J1610" s="1695">
        <f>'Part IX A-Scoring Criteria'!J93</f>
        <v>0</v>
      </c>
      <c r="K1610" s="1571" t="s">
        <v>4186</v>
      </c>
      <c r="L1610" s="1695">
        <f>'Part IX A-Scoring Criteria'!L93</f>
        <v>0</v>
      </c>
      <c r="M1610" s="1190"/>
      <c r="N1610" s="1685"/>
      <c r="O1610" s="1218">
        <f>'Part IX A-Scoring Criteria'!O93</f>
        <v>0</v>
      </c>
      <c r="P1610" s="1218">
        <f>'Part IX A-Scoring Criteria'!P93</f>
        <v>0</v>
      </c>
      <c r="Q1610" s="1397"/>
    </row>
    <row r="1611" spans="1:19" s="44" customFormat="1" ht="6" customHeight="1">
      <c r="A1611" s="165"/>
      <c r="B1611" s="92"/>
      <c r="G1611" s="42"/>
      <c r="H1611" s="124"/>
      <c r="I1611" s="234"/>
      <c r="J1611" s="56"/>
      <c r="K1611" s="531"/>
      <c r="L1611" s="56"/>
      <c r="M1611" s="1190"/>
      <c r="N1611" s="1397"/>
      <c r="O1611" s="1397"/>
      <c r="P1611" s="1397"/>
      <c r="Q1611" s="1397"/>
    </row>
    <row r="1612" spans="1:19" s="158" customFormat="1" ht="11.45" customHeight="1">
      <c r="A1612" s="149" t="s">
        <v>2058</v>
      </c>
      <c r="B1612" s="180" t="s">
        <v>2408</v>
      </c>
      <c r="D1612" s="100"/>
      <c r="H1612" s="531"/>
      <c r="I1612" s="531"/>
      <c r="J1612" s="531"/>
      <c r="K1612" s="531"/>
      <c r="L1612" s="531"/>
      <c r="M1612" s="484">
        <v>3</v>
      </c>
      <c r="N1612" s="192" t="s">
        <v>2058</v>
      </c>
      <c r="O1612" s="609" t="s">
        <v>2597</v>
      </c>
      <c r="P1612" s="609" t="s">
        <v>2597</v>
      </c>
    </row>
    <row r="1613" spans="1:19" s="44" customFormat="1" ht="12.6" customHeight="1">
      <c r="B1613" s="482" t="s">
        <v>4177</v>
      </c>
      <c r="D1613" s="42"/>
      <c r="H1613" s="56"/>
      <c r="I1613" s="56"/>
      <c r="J1613" s="56"/>
      <c r="K1613" s="56"/>
      <c r="L1613" s="56"/>
      <c r="M1613" s="1190"/>
      <c r="O1613" s="1218">
        <f>'Part IX A-Scoring Criteria'!O96</f>
        <v>0</v>
      </c>
      <c r="P1613" s="1218">
        <f>'Part IX A-Scoring Criteria'!P96</f>
        <v>0</v>
      </c>
      <c r="Q1613" s="1397"/>
    </row>
    <row r="1614" spans="1:19" s="158" customFormat="1" ht="11.45" customHeight="1">
      <c r="B1614" s="415" t="s">
        <v>2062</v>
      </c>
      <c r="C1614" s="1643" t="s">
        <v>2715</v>
      </c>
      <c r="E1614" s="531"/>
      <c r="H1614" s="531"/>
      <c r="I1614" s="531"/>
      <c r="J1614" s="531"/>
      <c r="K1614" s="531"/>
      <c r="L1614" s="531"/>
      <c r="M1614" s="531"/>
    </row>
    <row r="1615" spans="1:19" s="158" customFormat="1" ht="11.25" customHeight="1">
      <c r="A1615" s="1696" t="str">
        <f>IF(AND(O1615="",$I$87="Earth Craft Communities"), "X","")</f>
        <v/>
      </c>
      <c r="B1615" s="174"/>
      <c r="C1615" s="150" t="s">
        <v>4178</v>
      </c>
      <c r="D1615" s="150"/>
      <c r="E1615" s="150"/>
      <c r="F1615" s="150"/>
      <c r="G1615" s="150"/>
      <c r="H1615" s="150"/>
      <c r="I1615" s="150"/>
      <c r="J1615" s="150"/>
      <c r="K1615" s="150"/>
      <c r="L1615" s="1695">
        <f>'Part IX A-Scoring Criteria'!L98</f>
        <v>0</v>
      </c>
      <c r="M1615" s="1557"/>
    </row>
    <row r="1616" spans="1:19" s="158" customFormat="1" ht="11.45" customHeight="1">
      <c r="B1616" s="415" t="s">
        <v>2064</v>
      </c>
      <c r="C1616" s="1643" t="s">
        <v>3928</v>
      </c>
      <c r="E1616" s="531"/>
      <c r="H1616" s="531"/>
      <c r="I1616" s="531"/>
      <c r="J1616" s="531"/>
      <c r="K1616" s="531"/>
      <c r="L1616" s="531"/>
      <c r="M1616" s="1683"/>
    </row>
    <row r="1617" spans="1:19" s="158" customFormat="1" ht="11.25" customHeight="1">
      <c r="A1617" s="1696" t="str">
        <f>IF(AND(O1617="",$I$87="LEED-ND"), "X","")</f>
        <v/>
      </c>
      <c r="B1617" s="527" t="s">
        <v>2520</v>
      </c>
      <c r="C1617" s="150" t="s">
        <v>4185</v>
      </c>
      <c r="D1617" s="150"/>
      <c r="E1617" s="150"/>
      <c r="F1617" s="150"/>
      <c r="G1617" s="150"/>
      <c r="H1617" s="150"/>
      <c r="I1617" s="531"/>
      <c r="J1617" s="531"/>
      <c r="K1617" s="150"/>
      <c r="L1617" s="1695">
        <f>'Part IX A-Scoring Criteria'!L100</f>
        <v>0</v>
      </c>
      <c r="M1617" s="1557"/>
    </row>
    <row r="1618" spans="1:19" s="158" customFormat="1" ht="11.25" customHeight="1">
      <c r="A1618" s="1696" t="str">
        <f>IF(AND(O1618="",$I$87="LEED-ND"), "X","")</f>
        <v/>
      </c>
      <c r="B1618" s="527" t="s">
        <v>2521</v>
      </c>
      <c r="C1618" s="150" t="s">
        <v>4180</v>
      </c>
      <c r="D1618" s="150"/>
      <c r="E1618" s="150"/>
      <c r="F1618" s="150"/>
      <c r="G1618" s="150"/>
      <c r="H1618" s="150"/>
      <c r="I1618" s="1690" t="str">
        <f>'Part IX A-Scoring Criteria'!I101</f>
        <v>&lt;&lt;Enter LEED AP's Name here&gt;&gt;</v>
      </c>
      <c r="J1618" s="1690"/>
      <c r="K1618" s="1690" t="str">
        <f>'Part IX A-Scoring Criteria'!K101</f>
        <v>&lt;&lt;Enter LEED AP 's Company Name here&gt;&gt;</v>
      </c>
      <c r="L1618" s="1690"/>
      <c r="M1618" s="1690"/>
    </row>
    <row r="1619" spans="1:19" s="158" customFormat="1" ht="11.45" customHeight="1">
      <c r="A1619" s="149" t="s">
        <v>2061</v>
      </c>
      <c r="B1619" s="180" t="s">
        <v>323</v>
      </c>
      <c r="D1619" s="100"/>
      <c r="E1619" s="100"/>
      <c r="F1619" s="100"/>
      <c r="H1619" s="531"/>
      <c r="I1619" s="531"/>
      <c r="J1619" s="531"/>
      <c r="K1619" s="531"/>
      <c r="L1619" s="531"/>
      <c r="M1619" s="484">
        <v>2</v>
      </c>
      <c r="N1619" s="1673" t="s">
        <v>2061</v>
      </c>
      <c r="O1619" s="600" t="s">
        <v>2597</v>
      </c>
      <c r="P1619" s="600" t="s">
        <v>2597</v>
      </c>
    </row>
    <row r="1620" spans="1:19" s="44" customFormat="1" ht="11.25" customHeight="1">
      <c r="A1620" s="1398" t="str">
        <f>IF(AND(O1620="",OR($I$87="Earth Craft House Single Family",$I$87="Earth Craft House Multifamily",$I$87="Earth Craft House Renovation",$I$87="EF Green Communities",$I$87="LEED for Homes",$I$87="NAHB Natl Green Bdlg Stds",$I$87="EnergyStar v3")), "X","")</f>
        <v/>
      </c>
      <c r="B1620" s="496" t="s">
        <v>2062</v>
      </c>
      <c r="C1620" s="542" t="s">
        <v>2841</v>
      </c>
      <c r="D1620" s="42"/>
      <c r="H1620" s="56"/>
      <c r="I1620" s="56"/>
      <c r="J1620" s="56"/>
      <c r="K1620" s="56"/>
      <c r="L1620" s="56"/>
      <c r="M1620" s="1190"/>
      <c r="N1620" s="1677" t="s">
        <v>2062</v>
      </c>
      <c r="O1620" s="1697">
        <f>'Part IX A-Scoring Criteria'!O103</f>
        <v>0</v>
      </c>
      <c r="P1620" s="1218">
        <f>'Part IX A-Scoring Criteria'!P103</f>
        <v>0</v>
      </c>
      <c r="Q1620" s="1397"/>
    </row>
    <row r="1621" spans="1:19" s="44" customFormat="1" ht="11.25" customHeight="1">
      <c r="A1621" s="1398" t="str">
        <f>IF(AND(O1621="",OR($I$87="Earth Craft House Single Family",$I$87="Earth Craft House Multifamily",$I$87="Earth Craft House Renovation",$I$87="EF Green Communities",$I$87="LEED for Homes",$I$87="NAHB Natl Green Bdlg Stds",$I$87="EnergyStar v3")), "X","")</f>
        <v/>
      </c>
      <c r="B1621" s="496" t="s">
        <v>2064</v>
      </c>
      <c r="C1621" s="542" t="s">
        <v>2838</v>
      </c>
      <c r="D1621" s="42"/>
      <c r="H1621" s="56"/>
      <c r="I1621" s="56"/>
      <c r="J1621" s="56"/>
      <c r="K1621" s="56"/>
      <c r="L1621" s="56"/>
      <c r="M1621" s="1190"/>
      <c r="N1621" s="1677" t="s">
        <v>2064</v>
      </c>
      <c r="O1621" s="1697">
        <f>'Part IX A-Scoring Criteria'!O104</f>
        <v>0</v>
      </c>
      <c r="P1621" s="1218">
        <f>'Part IX A-Scoring Criteria'!P104</f>
        <v>0</v>
      </c>
      <c r="Q1621" s="1397"/>
    </row>
    <row r="1622" spans="1:19" s="44" customFormat="1" ht="11.25" customHeight="1">
      <c r="A1622" s="1398" t="str">
        <f>IF(AND(O1622="",OR($I$87="Earth Craft House Single Family",$I$87="Earth Craft House Multifamily",$I$87="Earth Craft House Renovation",$I$87="EF Green Communities",$I$87="LEED for Homes",$I$87="NAHB Natl Green Bdlg Stds",$I$87="EnergyStar v3")), "X","")</f>
        <v/>
      </c>
      <c r="B1622" s="496" t="s">
        <v>2622</v>
      </c>
      <c r="C1622" s="542" t="s">
        <v>2839</v>
      </c>
      <c r="D1622" s="42"/>
      <c r="H1622" s="56"/>
      <c r="I1622" s="56"/>
      <c r="J1622" s="56"/>
      <c r="K1622" s="56"/>
      <c r="L1622" s="56"/>
      <c r="M1622" s="1190"/>
      <c r="N1622" s="1677" t="s">
        <v>2622</v>
      </c>
      <c r="O1622" s="1697">
        <f>'Part IX A-Scoring Criteria'!O105</f>
        <v>0</v>
      </c>
      <c r="P1622" s="1218">
        <f>'Part IX A-Scoring Criteria'!P105</f>
        <v>0</v>
      </c>
      <c r="Q1622" s="1397"/>
    </row>
    <row r="1623" spans="1:19" s="44" customFormat="1" ht="11.25" customHeight="1">
      <c r="A1623" s="1398" t="str">
        <f>IF(AND(O1623="",OR($I$87="Earth Craft House Single Family",$I$87="Earth Craft House Multifamily",$I$87="Earth Craft House Renovation",$I$87="EF Green Communities",$I$87="LEED for Homes",$I$87="NAHB Natl Green Bdlg Stds",$I$87="EnergyStar v3")), "X","")</f>
        <v/>
      </c>
      <c r="B1623" s="496" t="s">
        <v>1270</v>
      </c>
      <c r="C1623" s="542" t="s">
        <v>2840</v>
      </c>
      <c r="D1623" s="42"/>
      <c r="H1623" s="56"/>
      <c r="I1623" s="56"/>
      <c r="J1623" s="56"/>
      <c r="K1623" s="56"/>
      <c r="L1623" s="56"/>
      <c r="M1623" s="1190"/>
      <c r="N1623" s="1677" t="s">
        <v>1270</v>
      </c>
      <c r="O1623" s="1697">
        <f>'Part IX A-Scoring Criteria'!O106</f>
        <v>0</v>
      </c>
      <c r="P1623" s="1218">
        <f>'Part IX A-Scoring Criteria'!P106</f>
        <v>0</v>
      </c>
      <c r="Q1623" s="1397"/>
    </row>
    <row r="1624" spans="1:19">
      <c r="B1624" s="236"/>
      <c r="E1624" s="150"/>
      <c r="F1624" s="150"/>
      <c r="I1624" s="150"/>
      <c r="J1624" s="150"/>
      <c r="K1624" s="150"/>
      <c r="M1624" s="1557"/>
      <c r="N1624" s="1557"/>
      <c r="O1624" s="1557"/>
      <c r="P1624" s="1557"/>
    </row>
    <row r="1625" spans="1:19" ht="15">
      <c r="A1625" s="533"/>
      <c r="B1625" s="71" t="s">
        <v>267</v>
      </c>
      <c r="C1625" s="533"/>
      <c r="D1625" s="109"/>
      <c r="E1625" s="109"/>
      <c r="F1625" s="109"/>
      <c r="G1625" s="109"/>
      <c r="H1625" s="98"/>
      <c r="I1625" s="98"/>
      <c r="J1625" s="98"/>
      <c r="K1625" s="54"/>
      <c r="L1625" s="98"/>
      <c r="M1625" s="484"/>
      <c r="N1625" s="484"/>
      <c r="O1625" s="3"/>
      <c r="P1625" s="1190"/>
      <c r="Q1625" s="98"/>
      <c r="R1625" s="98"/>
      <c r="S1625" s="98"/>
    </row>
    <row r="1626" spans="1:19" ht="15.75">
      <c r="A1626" s="1221">
        <f>'Part IX A-Scoring Criteria'!A109</f>
        <v>0</v>
      </c>
      <c r="B1626" s="1221"/>
      <c r="C1626" s="1221"/>
      <c r="D1626" s="1221"/>
      <c r="E1626" s="1221"/>
      <c r="F1626" s="1221"/>
      <c r="G1626" s="1221"/>
      <c r="H1626" s="1221"/>
      <c r="I1626" s="1221"/>
      <c r="J1626" s="1221"/>
      <c r="K1626" s="1221"/>
      <c r="L1626" s="1221"/>
      <c r="M1626" s="1221"/>
      <c r="N1626" s="1221"/>
      <c r="O1626" s="1221"/>
      <c r="P1626" s="1221"/>
      <c r="Q1626" s="1660" t="s">
        <v>1301</v>
      </c>
      <c r="R1626" s="56"/>
      <c r="S1626" s="56"/>
    </row>
    <row r="1627" spans="1:19" ht="15">
      <c r="A1627" s="533"/>
      <c r="B1627" s="71" t="s">
        <v>1937</v>
      </c>
      <c r="C1627" s="533"/>
      <c r="D1627" s="147"/>
      <c r="E1627" s="1400"/>
      <c r="F1627" s="1400"/>
      <c r="G1627" s="1400"/>
      <c r="H1627" s="1400"/>
      <c r="I1627" s="1400"/>
      <c r="J1627" s="1400"/>
      <c r="K1627" s="1400"/>
      <c r="L1627" s="1400"/>
      <c r="M1627" s="1400"/>
      <c r="N1627" s="1672"/>
      <c r="O1627" s="75"/>
      <c r="P1627" s="1190"/>
      <c r="Q1627" s="1669"/>
      <c r="R1627" s="56"/>
      <c r="S1627" s="56"/>
    </row>
    <row r="1628" spans="1:19" ht="15.75">
      <c r="A1628" s="1221">
        <f>'Part IX A-Scoring Criteria'!A111</f>
        <v>0</v>
      </c>
      <c r="B1628" s="1221"/>
      <c r="C1628" s="1221"/>
      <c r="D1628" s="1221"/>
      <c r="E1628" s="1221"/>
      <c r="F1628" s="1221"/>
      <c r="G1628" s="1221"/>
      <c r="H1628" s="1221"/>
      <c r="I1628" s="1221"/>
      <c r="J1628" s="1221"/>
      <c r="K1628" s="1221"/>
      <c r="L1628" s="1221"/>
      <c r="M1628" s="1221"/>
      <c r="N1628" s="1221"/>
      <c r="O1628" s="1221"/>
      <c r="P1628" s="1221"/>
      <c r="Q1628" s="1660" t="s">
        <v>1301</v>
      </c>
      <c r="R1628" s="56"/>
      <c r="S1628" s="56"/>
    </row>
    <row r="1629" spans="1:19" ht="15">
      <c r="A1629" s="533"/>
      <c r="B1629" s="56"/>
      <c r="C1629" s="56"/>
      <c r="D1629" s="54"/>
      <c r="E1629" s="54"/>
      <c r="F1629" s="1190"/>
      <c r="G1629" s="1190"/>
      <c r="H1629" s="1190"/>
      <c r="I1629" s="1190"/>
      <c r="J1629" s="1220"/>
      <c r="K1629" s="1220"/>
      <c r="L1629" s="1220"/>
      <c r="M1629" s="1407"/>
      <c r="N1629" s="1190"/>
      <c r="O1629" s="31"/>
      <c r="P1629" s="3"/>
      <c r="Q1629" s="56"/>
      <c r="R1629" s="56"/>
      <c r="S1629" s="56"/>
    </row>
    <row r="1630" spans="1:19" ht="15">
      <c r="A1630" s="1655" t="s">
        <v>521</v>
      </c>
      <c r="B1630" s="112" t="s">
        <v>2905</v>
      </c>
      <c r="C1630" s="98"/>
      <c r="D1630" s="62"/>
      <c r="E1630" s="62"/>
      <c r="F1630" s="98"/>
      <c r="G1630" s="98"/>
      <c r="H1630" s="573" t="s">
        <v>3929</v>
      </c>
      <c r="I1630" s="98"/>
      <c r="J1630" s="98"/>
      <c r="K1630" s="98"/>
      <c r="L1630" s="98"/>
      <c r="M1630" s="1190">
        <v>8</v>
      </c>
      <c r="N1630" s="484"/>
      <c r="O1630" s="3">
        <f>'Part IX A-Scoring Criteria'!O113</f>
        <v>0</v>
      </c>
      <c r="P1630" s="3">
        <f>'Part IX A-Scoring Criteria'!P113</f>
        <v>0</v>
      </c>
      <c r="Q1630" s="1190" t="s">
        <v>456</v>
      </c>
      <c r="R1630" s="56"/>
      <c r="S1630" s="98"/>
    </row>
    <row r="1631" spans="1:19" ht="15">
      <c r="A1631" s="1655"/>
      <c r="B1631" s="112"/>
      <c r="C1631" s="98"/>
      <c r="D1631" s="62"/>
      <c r="E1631" s="62"/>
      <c r="F1631" s="98"/>
      <c r="G1631" s="98"/>
      <c r="H1631" s="573"/>
      <c r="I1631" s="98"/>
      <c r="J1631" s="98"/>
      <c r="K1631" s="98"/>
      <c r="L1631" s="98"/>
      <c r="M1631" s="1218"/>
      <c r="N1631" s="98"/>
      <c r="O1631" s="98"/>
      <c r="P1631" s="98"/>
      <c r="Q1631" s="1190"/>
      <c r="R1631" s="56"/>
      <c r="S1631" s="98"/>
    </row>
    <row r="1632" spans="1:19" ht="15">
      <c r="A1632" s="1698" t="s">
        <v>3932</v>
      </c>
      <c r="B1632" s="1159" t="s">
        <v>3930</v>
      </c>
      <c r="C1632" s="98"/>
      <c r="D1632" s="62"/>
      <c r="E1632" s="62"/>
      <c r="F1632" s="98"/>
      <c r="G1632" s="98"/>
      <c r="H1632" s="573"/>
      <c r="I1632" s="98"/>
      <c r="J1632" s="98"/>
      <c r="K1632" s="98"/>
      <c r="L1632" s="98"/>
      <c r="M1632" s="615">
        <v>3</v>
      </c>
      <c r="N1632" s="98"/>
      <c r="O1632" s="3">
        <f>'Part IX A-Scoring Criteria'!O115</f>
        <v>0</v>
      </c>
      <c r="P1632" s="1190">
        <f>'Part IX A-Scoring Criteria'!P115</f>
        <v>0</v>
      </c>
      <c r="Q1632" s="1190"/>
      <c r="R1632" s="56"/>
      <c r="S1632" s="98"/>
    </row>
    <row r="1633" spans="1:19">
      <c r="A1633" s="1698"/>
      <c r="B1633" s="109" t="s">
        <v>2913</v>
      </c>
      <c r="C1633" s="1535"/>
      <c r="D1633" s="1535"/>
      <c r="E1633" s="1159" t="str">
        <f>'Part I-Project Information'!$H$90</f>
        <v>N/A - 4% Bond</v>
      </c>
      <c r="O1633" s="600" t="s">
        <v>2597</v>
      </c>
      <c r="P1633" s="600" t="s">
        <v>2597</v>
      </c>
    </row>
    <row r="1634" spans="1:19" ht="12.75" customHeight="1">
      <c r="A1634" s="1698"/>
      <c r="B1634" s="1699" t="s">
        <v>2062</v>
      </c>
      <c r="C1634" s="467" t="s">
        <v>2785</v>
      </c>
      <c r="M1634" s="615"/>
      <c r="O1634" s="1218">
        <f>'Part IX A-Scoring Criteria'!O117</f>
        <v>0</v>
      </c>
      <c r="P1634" s="1218">
        <f>'Part IX A-Scoring Criteria'!P117</f>
        <v>0</v>
      </c>
      <c r="Q1634" s="1700" t="str">
        <f>IF(AND(O1634="Yes",O1637="Yes"),"Only 1 or 4 can be 'Yes'!","")</f>
        <v/>
      </c>
      <c r="R1634" s="1700"/>
    </row>
    <row r="1635" spans="1:19" ht="12.75" customHeight="1">
      <c r="B1635" s="1699" t="s">
        <v>2064</v>
      </c>
      <c r="C1635" s="467" t="s">
        <v>2854</v>
      </c>
      <c r="D1635" s="1701">
        <f>'Part IX A-Scoring Criteria'!D118</f>
        <v>0</v>
      </c>
      <c r="E1635" s="467" t="s">
        <v>2855</v>
      </c>
      <c r="G1635" s="467" t="s">
        <v>2474</v>
      </c>
      <c r="K1635" s="54" t="s">
        <v>2853</v>
      </c>
      <c r="L1635" s="1702">
        <f>'Part IX A-Scoring Criteria'!L118</f>
        <v>0</v>
      </c>
      <c r="M1635" s="234" t="str">
        <f>IF(L1635&gt;D1635,"CHECK ACTUAL PERCENT!!!","")</f>
        <v/>
      </c>
      <c r="N1635" s="1641"/>
      <c r="O1635" s="31"/>
      <c r="P1635" s="31"/>
      <c r="Q1635" s="1700"/>
      <c r="R1635" s="1700"/>
    </row>
    <row r="1636" spans="1:19" ht="12.75" customHeight="1">
      <c r="B1636" s="1699" t="s">
        <v>2622</v>
      </c>
      <c r="C1636" s="467" t="s">
        <v>2475</v>
      </c>
      <c r="G1636" s="467" t="s">
        <v>2476</v>
      </c>
      <c r="K1636" s="1183" t="s">
        <v>2845</v>
      </c>
      <c r="L1636" s="1183">
        <f>'Part IX A-Scoring Criteria'!L119</f>
        <v>0</v>
      </c>
      <c r="N1636" s="615"/>
      <c r="O1636" s="31"/>
      <c r="P1636" s="31"/>
      <c r="Q1636" s="1700"/>
      <c r="R1636" s="1700"/>
    </row>
    <row r="1637" spans="1:19" ht="12.75" customHeight="1">
      <c r="B1637" s="1699" t="s">
        <v>1270</v>
      </c>
      <c r="C1637" s="1616" t="s">
        <v>3936</v>
      </c>
      <c r="D1637" s="1616"/>
      <c r="E1637" s="1616"/>
      <c r="F1637" s="1616"/>
      <c r="G1637" s="1616"/>
      <c r="H1637" s="1616"/>
      <c r="I1637" s="1616"/>
      <c r="J1637" s="1616"/>
      <c r="K1637" s="1616"/>
      <c r="L1637" s="1616"/>
      <c r="M1637" s="1616"/>
      <c r="O1637" s="1218">
        <f>'Part IX A-Scoring Criteria'!O120</f>
        <v>0</v>
      </c>
      <c r="P1637" s="1218">
        <f>'Part IX A-Scoring Criteria'!P120</f>
        <v>0</v>
      </c>
      <c r="Q1637" s="1700"/>
      <c r="R1637" s="1700"/>
    </row>
    <row r="1638" spans="1:19">
      <c r="B1638" s="1699"/>
      <c r="C1638" s="1616"/>
      <c r="D1638" s="1616"/>
      <c r="E1638" s="1616"/>
      <c r="F1638" s="1616"/>
      <c r="G1638" s="1616"/>
      <c r="H1638" s="1616"/>
      <c r="I1638" s="1616"/>
      <c r="J1638" s="1616"/>
      <c r="K1638" s="1616"/>
      <c r="L1638" s="1616"/>
      <c r="M1638" s="1616"/>
      <c r="N1638" s="615"/>
      <c r="O1638" s="31"/>
      <c r="P1638" s="31"/>
    </row>
    <row r="1639" spans="1:19">
      <c r="A1639" s="1574" t="s">
        <v>779</v>
      </c>
      <c r="B1639" s="1703" t="s">
        <v>3931</v>
      </c>
      <c r="C1639" s="467"/>
      <c r="G1639" s="467"/>
      <c r="K1639" s="600" t="s">
        <v>3911</v>
      </c>
      <c r="L1639" s="600" t="s">
        <v>3912</v>
      </c>
      <c r="M1639" s="615">
        <v>3</v>
      </c>
      <c r="N1639" s="615"/>
      <c r="O1639" s="1704">
        <f>'Part IX A-Scoring Criteria'!O122</f>
        <v>0</v>
      </c>
      <c r="P1639" s="1704">
        <f>'Part IX A-Scoring Criteria'!P122</f>
        <v>0</v>
      </c>
    </row>
    <row r="1640" spans="1:19" ht="12.75" customHeight="1">
      <c r="A1640" s="1574"/>
      <c r="B1640" s="1616" t="s">
        <v>3935</v>
      </c>
      <c r="C1640" s="1616"/>
      <c r="D1640" s="1616"/>
      <c r="E1640" s="1616"/>
      <c r="F1640" s="1616"/>
      <c r="G1640" s="1616"/>
      <c r="H1640" s="1616"/>
      <c r="I1640" s="1616"/>
      <c r="J1640" s="1616"/>
      <c r="K1640" s="1218" t="str">
        <f>'Part IX A-Scoring Criteria'!K123</f>
        <v>&lt;Select&gt;</v>
      </c>
      <c r="L1640" s="1218" t="str">
        <f>'Part IX A-Scoring Criteria'!L123</f>
        <v>&lt;Select&gt;</v>
      </c>
      <c r="N1640" s="615"/>
      <c r="O1640" s="1190"/>
      <c r="P1640" s="1190"/>
    </row>
    <row r="1641" spans="1:19">
      <c r="A1641" s="1574"/>
      <c r="B1641" s="1616"/>
      <c r="C1641" s="1616"/>
      <c r="D1641" s="1616"/>
      <c r="E1641" s="1616"/>
      <c r="F1641" s="1616"/>
      <c r="G1641" s="1616"/>
      <c r="H1641" s="1616"/>
      <c r="I1641" s="1616"/>
      <c r="J1641" s="1616"/>
      <c r="N1641" s="615"/>
      <c r="O1641" s="1190"/>
      <c r="P1641" s="1190"/>
    </row>
    <row r="1642" spans="1:19">
      <c r="A1642" s="1574" t="s">
        <v>2193</v>
      </c>
      <c r="B1642" s="1703" t="s">
        <v>3933</v>
      </c>
      <c r="C1642" s="467"/>
      <c r="G1642" s="1183" t="s">
        <v>3934</v>
      </c>
      <c r="H1642" s="1705">
        <f>'Part VI-Revenues &amp; Expenses'!$O$59</f>
        <v>0</v>
      </c>
      <c r="I1642" s="600" t="s">
        <v>3949</v>
      </c>
      <c r="J1642" s="1705">
        <f>'Part VI-Revenues &amp; Expenses'!$O$62</f>
        <v>208</v>
      </c>
      <c r="K1642" s="600" t="s">
        <v>3950</v>
      </c>
      <c r="L1642" s="1706">
        <f>IF(J1642=0,0,H1642/J1642)</f>
        <v>0</v>
      </c>
      <c r="M1642" s="615">
        <v>2</v>
      </c>
      <c r="N1642" s="615"/>
      <c r="O1642" s="1704">
        <f>'Part IX A-Scoring Criteria'!O125</f>
        <v>0</v>
      </c>
      <c r="P1642" s="1704">
        <f>'Part IX A-Scoring Criteria'!P125</f>
        <v>0</v>
      </c>
    </row>
    <row r="1643" spans="1:19" ht="15">
      <c r="A1643" s="533"/>
      <c r="B1643" s="147" t="s">
        <v>1937</v>
      </c>
      <c r="C1643" s="533"/>
      <c r="D1643" s="147"/>
      <c r="E1643" s="1400"/>
      <c r="F1643" s="1400"/>
      <c r="G1643" s="1400"/>
      <c r="H1643" s="1400"/>
      <c r="I1643" s="1400"/>
      <c r="J1643" s="1400"/>
      <c r="K1643" s="1400"/>
      <c r="L1643" s="1400"/>
      <c r="M1643" s="1400"/>
      <c r="N1643" s="1672"/>
      <c r="O1643" s="75"/>
      <c r="P1643" s="1190"/>
      <c r="Q1643" s="1669"/>
      <c r="R1643" s="56"/>
      <c r="S1643" s="56"/>
    </row>
    <row r="1644" spans="1:19" ht="15.75">
      <c r="A1644" s="1221">
        <f>'Part IX A-Scoring Criteria'!A127</f>
        <v>0</v>
      </c>
      <c r="B1644" s="1221"/>
      <c r="C1644" s="1221"/>
      <c r="D1644" s="1221"/>
      <c r="E1644" s="1221"/>
      <c r="F1644" s="1221"/>
      <c r="G1644" s="1221"/>
      <c r="H1644" s="1221"/>
      <c r="I1644" s="1221"/>
      <c r="J1644" s="1221"/>
      <c r="K1644" s="1221"/>
      <c r="L1644" s="1221"/>
      <c r="M1644" s="1221"/>
      <c r="N1644" s="1221"/>
      <c r="O1644" s="1221"/>
      <c r="P1644" s="1221"/>
      <c r="Q1644" s="1660" t="s">
        <v>1301</v>
      </c>
      <c r="R1644" s="56"/>
      <c r="S1644" s="56"/>
    </row>
    <row r="1645" spans="1:19" ht="15">
      <c r="A1645" s="533"/>
      <c r="B1645" s="56"/>
      <c r="C1645" s="56"/>
      <c r="D1645" s="54"/>
      <c r="E1645" s="54"/>
      <c r="F1645" s="1190"/>
      <c r="G1645" s="1190"/>
      <c r="H1645" s="1190"/>
      <c r="I1645" s="1190"/>
      <c r="J1645" s="1220"/>
      <c r="K1645" s="1220"/>
      <c r="L1645" s="1220"/>
      <c r="M1645" s="1407"/>
      <c r="N1645" s="1190"/>
      <c r="O1645" s="31"/>
      <c r="P1645" s="3"/>
      <c r="Q1645" s="56"/>
      <c r="R1645" s="56"/>
      <c r="S1645" s="56"/>
    </row>
    <row r="1646" spans="1:19" ht="15">
      <c r="A1646" s="1655" t="s">
        <v>522</v>
      </c>
      <c r="B1646" s="112" t="s">
        <v>3570</v>
      </c>
      <c r="C1646" s="98"/>
      <c r="D1646" s="62"/>
      <c r="E1646" s="62"/>
      <c r="F1646" s="98"/>
      <c r="G1646" s="98"/>
      <c r="H1646" s="1407"/>
      <c r="I1646" s="98"/>
      <c r="J1646" s="370" t="str">
        <f>'Part IX A-Scoring Criteria'!J129</f>
        <v>&lt;Select a Community Revitalization Plan option&gt;</v>
      </c>
      <c r="K1646" s="370"/>
      <c r="L1646" s="370"/>
      <c r="M1646" s="1190">
        <v>10</v>
      </c>
      <c r="N1646" s="484"/>
      <c r="O1646" s="3">
        <f>'Part IX A-Scoring Criteria'!O129</f>
        <v>0</v>
      </c>
      <c r="P1646" s="1190">
        <f>'Part IX A-Scoring Criteria'!P129</f>
        <v>0</v>
      </c>
      <c r="Q1646" s="1190" t="s">
        <v>456</v>
      </c>
      <c r="R1646" s="56"/>
      <c r="S1646" s="98"/>
    </row>
    <row r="1647" spans="1:19">
      <c r="A1647" s="67"/>
      <c r="B1647" s="1183"/>
      <c r="D1647" s="600"/>
      <c r="E1647" s="1183"/>
      <c r="G1647" s="1707"/>
      <c r="H1647" s="1183"/>
      <c r="I1647" s="1220"/>
      <c r="K1647" s="1220"/>
    </row>
    <row r="1648" spans="1:19">
      <c r="B1648" s="199" t="s">
        <v>4085</v>
      </c>
      <c r="E1648" s="533"/>
      <c r="G1648" s="1511">
        <f>'Part IX A-Scoring Criteria'!G131</f>
        <v>0</v>
      </c>
      <c r="H1648" s="1511"/>
      <c r="I1648" s="1511"/>
      <c r="J1648" s="1511"/>
      <c r="K1648" s="1511"/>
      <c r="L1648" s="1511"/>
      <c r="M1648" s="1511"/>
      <c r="N1648" s="1511"/>
      <c r="O1648" s="1511"/>
      <c r="P1648" s="1511"/>
    </row>
    <row r="1649" spans="1:19">
      <c r="A1649" s="67"/>
      <c r="B1649" s="1183"/>
      <c r="D1649" s="600"/>
      <c r="E1649" s="1183"/>
      <c r="G1649" s="1707"/>
      <c r="H1649" s="1183"/>
    </row>
    <row r="1650" spans="1:19" ht="15">
      <c r="A1650" s="196"/>
      <c r="B1650" s="467" t="s">
        <v>3056</v>
      </c>
      <c r="C1650" s="56"/>
      <c r="D1650" s="533"/>
      <c r="E1650" s="56"/>
      <c r="F1650" s="56"/>
      <c r="G1650" s="56"/>
      <c r="H1650" s="56"/>
      <c r="I1650" s="56"/>
      <c r="J1650" s="56"/>
      <c r="K1650" s="56"/>
      <c r="L1650" s="56"/>
      <c r="M1650" s="56"/>
      <c r="N1650" s="69"/>
      <c r="O1650" s="1218">
        <f>'Part IX A-Scoring Criteria'!O133</f>
        <v>0</v>
      </c>
      <c r="P1650" s="1218">
        <f>'Part IX A-Scoring Criteria'!P133</f>
        <v>0</v>
      </c>
      <c r="Q1650" s="56"/>
      <c r="R1650" s="1663"/>
      <c r="S1650" s="56"/>
    </row>
    <row r="1651" spans="1:19">
      <c r="A1651" s="67"/>
      <c r="B1651" s="1183"/>
      <c r="D1651" s="600"/>
      <c r="E1651" s="1183"/>
      <c r="G1651" s="1707"/>
      <c r="H1651" s="1183"/>
      <c r="I1651" s="1220"/>
      <c r="K1651" s="1220"/>
    </row>
    <row r="1652" spans="1:19" ht="15">
      <c r="A1652" s="1190"/>
      <c r="B1652" s="199" t="s">
        <v>2972</v>
      </c>
      <c r="C1652" s="56"/>
      <c r="D1652" s="56"/>
      <c r="E1652" s="1220"/>
      <c r="F1652" s="56"/>
      <c r="G1652" s="56"/>
      <c r="H1652" s="56"/>
      <c r="I1652" s="56"/>
      <c r="J1652" s="56"/>
      <c r="K1652" s="56"/>
      <c r="L1652" s="56"/>
      <c r="M1652" s="56"/>
      <c r="N1652" s="56"/>
      <c r="O1652" s="600" t="s">
        <v>2597</v>
      </c>
      <c r="P1652" s="600" t="s">
        <v>2597</v>
      </c>
      <c r="Q1652" s="56"/>
      <c r="R1652" s="56"/>
      <c r="S1652" s="56"/>
    </row>
    <row r="1653" spans="1:19" ht="15">
      <c r="A1653" s="31"/>
      <c r="B1653" s="69" t="s">
        <v>2520</v>
      </c>
      <c r="C1653" s="467" t="s">
        <v>3711</v>
      </c>
      <c r="D1653" s="98"/>
      <c r="E1653" s="1220"/>
      <c r="F1653" s="56"/>
      <c r="G1653" s="467" t="s">
        <v>3712</v>
      </c>
      <c r="H1653" s="56"/>
      <c r="I1653" s="56"/>
      <c r="J1653" s="56"/>
      <c r="K1653" s="56"/>
      <c r="L1653" s="1708">
        <f>'Part IX A-Scoring Criteria'!L136</f>
        <v>0</v>
      </c>
      <c r="M1653" s="1708"/>
      <c r="N1653" s="69" t="s">
        <v>2520</v>
      </c>
      <c r="O1653" s="1218">
        <f>'Part IX A-Scoring Criteria'!O136</f>
        <v>0</v>
      </c>
      <c r="P1653" s="1218">
        <f>'Part IX A-Scoring Criteria'!P136</f>
        <v>0</v>
      </c>
      <c r="Q1653" s="56"/>
      <c r="R1653" s="56"/>
      <c r="S1653" s="56"/>
    </row>
    <row r="1654" spans="1:19" ht="15" customHeight="1">
      <c r="A1654" s="31"/>
      <c r="B1654" s="69" t="s">
        <v>2521</v>
      </c>
      <c r="C1654" s="1221" t="s">
        <v>3937</v>
      </c>
      <c r="D1654" s="1221"/>
      <c r="E1654" s="1221"/>
      <c r="F1654" s="1221"/>
      <c r="G1654" s="467" t="s">
        <v>3576</v>
      </c>
      <c r="H1654" s="56"/>
      <c r="I1654" s="56"/>
      <c r="J1654" s="56"/>
      <c r="K1654" s="56"/>
      <c r="L1654" s="1708">
        <f>'Part IX A-Scoring Criteria'!L137</f>
        <v>0</v>
      </c>
      <c r="M1654" s="1708"/>
      <c r="N1654" s="69" t="s">
        <v>2521</v>
      </c>
      <c r="O1654" s="1218">
        <f>'Part IX A-Scoring Criteria'!O137</f>
        <v>0</v>
      </c>
      <c r="P1654" s="1218">
        <f>'Part IX A-Scoring Criteria'!P137</f>
        <v>0</v>
      </c>
      <c r="Q1654" s="56"/>
      <c r="R1654" s="56"/>
      <c r="S1654" s="56"/>
    </row>
    <row r="1655" spans="1:19" ht="15">
      <c r="A1655" s="31"/>
      <c r="B1655" s="69"/>
      <c r="C1655" s="1221"/>
      <c r="D1655" s="1221"/>
      <c r="E1655" s="1221"/>
      <c r="F1655" s="1221"/>
      <c r="G1655" s="467" t="s">
        <v>3054</v>
      </c>
      <c r="H1655" s="56"/>
      <c r="I1655" s="56"/>
      <c r="J1655" s="56"/>
      <c r="K1655" s="56"/>
      <c r="L1655" s="573">
        <f>'Part IX A-Scoring Criteria'!L138</f>
        <v>0</v>
      </c>
      <c r="M1655" s="573"/>
      <c r="N1655" s="56"/>
      <c r="O1655" s="56"/>
      <c r="P1655" s="56"/>
      <c r="Q1655" s="56"/>
      <c r="R1655" s="56"/>
      <c r="S1655" s="56"/>
    </row>
    <row r="1656" spans="1:19" ht="15">
      <c r="A1656" s="31"/>
      <c r="B1656" s="69"/>
      <c r="C1656" s="1221"/>
      <c r="D1656" s="1221"/>
      <c r="E1656" s="1221"/>
      <c r="F1656" s="1221"/>
      <c r="G1656" s="467" t="s">
        <v>2949</v>
      </c>
      <c r="H1656" s="56"/>
      <c r="I1656" s="56"/>
      <c r="J1656" s="573" t="str">
        <f>'Part IX A-Scoring Criteria'!J139</f>
        <v>&lt;&lt;Select event type&gt;&gt;</v>
      </c>
      <c r="K1656" s="573"/>
      <c r="L1656" s="573" t="str">
        <f>'Part IX A-Scoring Criteria'!L139</f>
        <v>&lt;&lt;Select event type&gt;&gt;</v>
      </c>
      <c r="M1656" s="573"/>
      <c r="N1656" s="56"/>
      <c r="O1656" s="56"/>
      <c r="P1656" s="56"/>
      <c r="Q1656" s="56"/>
      <c r="R1656" s="56"/>
      <c r="S1656" s="56"/>
    </row>
    <row r="1657" spans="1:19" ht="15">
      <c r="A1657" s="31"/>
      <c r="B1657" s="69"/>
      <c r="C1657" s="1183"/>
      <c r="D1657" s="98"/>
      <c r="E1657" s="1220"/>
      <c r="F1657" s="56"/>
      <c r="G1657" s="467" t="s">
        <v>2950</v>
      </c>
      <c r="H1657" s="56"/>
      <c r="I1657" s="56"/>
      <c r="J1657" s="1708">
        <f>'Part IX A-Scoring Criteria'!J140</f>
        <v>0</v>
      </c>
      <c r="K1657" s="1708"/>
      <c r="L1657" s="1708">
        <f>'Part IX A-Scoring Criteria'!L140</f>
        <v>0</v>
      </c>
      <c r="M1657" s="1708"/>
      <c r="N1657" s="56"/>
      <c r="O1657" s="56"/>
      <c r="P1657" s="56"/>
      <c r="Q1657" s="56"/>
      <c r="R1657" s="56"/>
      <c r="S1657" s="56"/>
    </row>
    <row r="1658" spans="1:19" ht="15" customHeight="1">
      <c r="A1658" s="31"/>
      <c r="B1658" s="69"/>
      <c r="C1658" s="1183"/>
      <c r="D1658" s="98"/>
      <c r="E1658" s="1220"/>
      <c r="F1658" s="56"/>
      <c r="G1658" s="1616" t="s">
        <v>4089</v>
      </c>
      <c r="H1658" s="1616"/>
      <c r="I1658" s="467" t="s">
        <v>1778</v>
      </c>
      <c r="J1658" s="54" t="str">
        <f>'Part IX A-Scoring Criteria'!J141</f>
        <v>&lt;&lt;Select entity type&gt;&gt;</v>
      </c>
      <c r="K1658" s="54"/>
      <c r="L1658" s="54" t="str">
        <f>'Part IX A-Scoring Criteria'!L141</f>
        <v>&lt;&lt;Select entity type&gt;&gt;</v>
      </c>
      <c r="M1658" s="54"/>
      <c r="N1658" s="56"/>
      <c r="O1658" s="56"/>
      <c r="P1658" s="56"/>
      <c r="Q1658" s="56"/>
      <c r="R1658" s="56"/>
      <c r="S1658" s="56"/>
    </row>
    <row r="1659" spans="1:19" ht="15">
      <c r="A1659" s="31"/>
      <c r="B1659" s="69"/>
      <c r="C1659" s="1183"/>
      <c r="D1659" s="98"/>
      <c r="E1659" s="1220"/>
      <c r="F1659" s="56"/>
      <c r="G1659" s="1616"/>
      <c r="H1659" s="1616"/>
      <c r="I1659" s="467" t="s">
        <v>4088</v>
      </c>
      <c r="J1659" s="573">
        <f>'Part IX A-Scoring Criteria'!J142</f>
        <v>0</v>
      </c>
      <c r="K1659" s="573"/>
      <c r="L1659" s="573">
        <f>'Part IX A-Scoring Criteria'!L142</f>
        <v>0</v>
      </c>
      <c r="M1659" s="573"/>
      <c r="N1659" s="56"/>
      <c r="O1659" s="56"/>
      <c r="P1659" s="56"/>
      <c r="Q1659" s="56"/>
      <c r="R1659" s="56"/>
      <c r="S1659" s="56"/>
    </row>
    <row r="1660" spans="1:19" ht="13.5" customHeight="1">
      <c r="B1660" s="69" t="s">
        <v>2522</v>
      </c>
      <c r="C1660" s="1221" t="s">
        <v>3938</v>
      </c>
      <c r="D1660" s="1221"/>
      <c r="E1660" s="1221"/>
      <c r="F1660" s="1221"/>
      <c r="G1660" s="467" t="s">
        <v>3055</v>
      </c>
      <c r="L1660" s="1708">
        <f>'Part IX A-Scoring Criteria'!L143</f>
        <v>0</v>
      </c>
      <c r="M1660" s="1708"/>
      <c r="N1660" s="69" t="s">
        <v>2522</v>
      </c>
      <c r="O1660" s="1218">
        <f>'Part IX A-Scoring Criteria'!O143</f>
        <v>0</v>
      </c>
      <c r="P1660" s="1218">
        <f>'Part IX A-Scoring Criteria'!P143</f>
        <v>0</v>
      </c>
    </row>
    <row r="1661" spans="1:19" ht="13.5">
      <c r="B1661" s="69"/>
      <c r="C1661" s="1221"/>
      <c r="D1661" s="1221"/>
      <c r="E1661" s="1221"/>
      <c r="F1661" s="1221"/>
      <c r="G1661" s="467" t="s">
        <v>3722</v>
      </c>
      <c r="L1661" s="1708">
        <f>'Part IX A-Scoring Criteria'!L144</f>
        <v>0</v>
      </c>
      <c r="M1661" s="1708"/>
    </row>
    <row r="1662" spans="1:19" ht="13.5" customHeight="1">
      <c r="B1662" s="69" t="s">
        <v>2523</v>
      </c>
      <c r="C1662" s="54" t="s">
        <v>3939</v>
      </c>
      <c r="D1662" s="467"/>
      <c r="G1662" s="1571"/>
      <c r="K1662" s="1220"/>
      <c r="L1662" s="1709" t="str">
        <f>'Part IX A-Scoring Criteria'!L145</f>
        <v>&lt;&lt;Enter page nbr(s) from Plan here&gt;&gt;</v>
      </c>
      <c r="M1662" s="1709"/>
      <c r="N1662" s="69" t="s">
        <v>2523</v>
      </c>
      <c r="O1662" s="1218">
        <f>'Part IX A-Scoring Criteria'!O145</f>
        <v>0</v>
      </c>
      <c r="P1662" s="1218">
        <f>'Part IX A-Scoring Criteria'!P145</f>
        <v>0</v>
      </c>
    </row>
    <row r="1663" spans="1:19" ht="12.75" customHeight="1">
      <c r="B1663" s="69" t="s">
        <v>2524</v>
      </c>
      <c r="C1663" s="54" t="s">
        <v>2952</v>
      </c>
      <c r="K1663" s="1220"/>
      <c r="L1663" s="1709" t="str">
        <f>'Part IX A-Scoring Criteria'!L146</f>
        <v>&lt;&lt;Enter page nbr(s) from Plan here&gt;&gt;</v>
      </c>
      <c r="M1663" s="1709"/>
      <c r="N1663" s="69" t="s">
        <v>2524</v>
      </c>
      <c r="O1663" s="1218">
        <f>'Part IX A-Scoring Criteria'!O146</f>
        <v>0</v>
      </c>
      <c r="P1663" s="1218">
        <f>'Part IX A-Scoring Criteria'!P146</f>
        <v>0</v>
      </c>
    </row>
    <row r="1664" spans="1:19" ht="12.75" customHeight="1">
      <c r="B1664" s="69" t="s">
        <v>3579</v>
      </c>
      <c r="C1664" s="54" t="s">
        <v>3573</v>
      </c>
      <c r="K1664" s="1220"/>
      <c r="L1664" s="1709" t="str">
        <f>'Part IX A-Scoring Criteria'!L147</f>
        <v>&lt;&lt;Enter page nbr(s) from Plan here&gt;&gt;</v>
      </c>
      <c r="M1664" s="1709"/>
      <c r="N1664" s="69" t="s">
        <v>3579</v>
      </c>
      <c r="O1664" s="1218">
        <f>'Part IX A-Scoring Criteria'!O147</f>
        <v>0</v>
      </c>
      <c r="P1664" s="1218">
        <f>'Part IX A-Scoring Criteria'!P147</f>
        <v>0</v>
      </c>
    </row>
    <row r="1665" spans="1:21" ht="12.75" customHeight="1">
      <c r="B1665" s="69" t="s">
        <v>3580</v>
      </c>
      <c r="C1665" s="54" t="s">
        <v>3571</v>
      </c>
      <c r="K1665" s="1220"/>
      <c r="L1665" s="1709" t="str">
        <f>'Part IX A-Scoring Criteria'!L148</f>
        <v>&lt;&lt;Enter page nbr(s) from Plan here&gt;&gt;</v>
      </c>
      <c r="M1665" s="1709"/>
      <c r="N1665" s="69" t="s">
        <v>3580</v>
      </c>
      <c r="O1665" s="1218">
        <f>'Part IX A-Scoring Criteria'!O148</f>
        <v>0</v>
      </c>
      <c r="P1665" s="1218">
        <f>'Part IX A-Scoring Criteria'!P148</f>
        <v>0</v>
      </c>
    </row>
    <row r="1666" spans="1:21" ht="12.75" customHeight="1">
      <c r="B1666" s="69" t="s">
        <v>2541</v>
      </c>
      <c r="C1666" s="54" t="s">
        <v>2953</v>
      </c>
      <c r="K1666" s="1220"/>
      <c r="L1666" s="1709" t="str">
        <f>'Part IX A-Scoring Criteria'!L149</f>
        <v>&lt;&lt;Enter page nbr(s) from Plan here&gt;&gt;</v>
      </c>
      <c r="M1666" s="1709"/>
      <c r="N1666" s="69" t="s">
        <v>2541</v>
      </c>
      <c r="O1666" s="1218">
        <f>'Part IX A-Scoring Criteria'!O149</f>
        <v>0</v>
      </c>
      <c r="P1666" s="1218">
        <f>'Part IX A-Scoring Criteria'!P149</f>
        <v>0</v>
      </c>
    </row>
    <row r="1667" spans="1:21" ht="12.75" customHeight="1">
      <c r="B1667" s="69" t="s">
        <v>2542</v>
      </c>
      <c r="C1667" s="54" t="s">
        <v>2954</v>
      </c>
      <c r="D1667" s="467"/>
      <c r="K1667" s="1220"/>
      <c r="L1667" s="1709" t="str">
        <f>'Part IX A-Scoring Criteria'!L150</f>
        <v>&lt;&lt;Enter page nbr(s) from Plan here&gt;&gt;</v>
      </c>
      <c r="M1667" s="1709"/>
      <c r="N1667" s="69" t="s">
        <v>2542</v>
      </c>
      <c r="O1667" s="1218">
        <f>'Part IX A-Scoring Criteria'!O150</f>
        <v>0</v>
      </c>
      <c r="P1667" s="1218">
        <f>'Part IX A-Scoring Criteria'!P150</f>
        <v>0</v>
      </c>
    </row>
    <row r="1668" spans="1:21">
      <c r="B1668" s="69" t="s">
        <v>2543</v>
      </c>
      <c r="C1668" s="54" t="s">
        <v>3940</v>
      </c>
      <c r="K1668" s="1220"/>
      <c r="M1668" s="31"/>
      <c r="N1668" s="69" t="s">
        <v>2543</v>
      </c>
      <c r="O1668" s="1218">
        <f>'Part IX A-Scoring Criteria'!O151</f>
        <v>0</v>
      </c>
      <c r="P1668" s="1218">
        <f>'Part IX A-Scoring Criteria'!P151</f>
        <v>0</v>
      </c>
    </row>
    <row r="1669" spans="1:21">
      <c r="B1669" s="69"/>
      <c r="C1669" s="54"/>
      <c r="K1669" s="1220"/>
      <c r="M1669" s="31"/>
      <c r="N1669" s="31"/>
      <c r="O1669" s="31"/>
      <c r="P1669" s="31"/>
    </row>
    <row r="1670" spans="1:21">
      <c r="A1670" s="196" t="s">
        <v>2058</v>
      </c>
      <c r="B1670" s="1159" t="s">
        <v>3572</v>
      </c>
      <c r="G1670" s="1183" t="s">
        <v>3700</v>
      </c>
      <c r="K1670" s="1220"/>
      <c r="L1670" s="1710" t="str">
        <f>'Part IX A-Scoring Criteria'!L153</f>
        <v>Enter page nbr(s) here</v>
      </c>
      <c r="M1670" s="484">
        <v>3</v>
      </c>
      <c r="N1670" s="69" t="s">
        <v>2058</v>
      </c>
      <c r="O1670" s="1218">
        <f>'Part IX A-Scoring Criteria'!O153</f>
        <v>0</v>
      </c>
      <c r="P1670" s="1218">
        <f>'Part IX A-Scoring Criteria'!P153</f>
        <v>0</v>
      </c>
    </row>
    <row r="1671" spans="1:21">
      <c r="A1671" s="67"/>
      <c r="G1671" s="1183" t="s">
        <v>3863</v>
      </c>
      <c r="L1671" s="1711" t="str">
        <f>'Part I-Project Information'!$O$28</f>
        <v>0028.00</v>
      </c>
      <c r="M1671" s="1711"/>
    </row>
    <row r="1672" spans="1:21">
      <c r="A1672" s="67"/>
      <c r="B1672" s="1183"/>
      <c r="D1672" s="600"/>
      <c r="G1672" s="1183" t="s">
        <v>3578</v>
      </c>
      <c r="K1672" s="1220"/>
      <c r="L1672" s="1183" t="str">
        <f>'Part I-Project Information'!$N$29</f>
        <v>Yes</v>
      </c>
    </row>
    <row r="1673" spans="1:21">
      <c r="A1673" s="67"/>
      <c r="B1673" s="1183"/>
      <c r="D1673" s="600"/>
      <c r="E1673" s="1183"/>
      <c r="G1673" s="1220" t="s">
        <v>3574</v>
      </c>
      <c r="K1673" s="1220"/>
      <c r="L1673" s="1220" t="str">
        <f>'Part IV-Uses of Funds'!$H$151</f>
        <v>DDA/QCT</v>
      </c>
    </row>
    <row r="1674" spans="1:21">
      <c r="A1674" s="196" t="s">
        <v>2061</v>
      </c>
      <c r="B1674" s="1159" t="s">
        <v>3575</v>
      </c>
      <c r="D1674" s="533"/>
      <c r="M1674" s="615">
        <v>2</v>
      </c>
    </row>
    <row r="1675" spans="1:21" ht="13.5">
      <c r="A1675" s="67"/>
      <c r="B1675" s="467" t="s">
        <v>3577</v>
      </c>
      <c r="N1675" s="69" t="s">
        <v>2061</v>
      </c>
      <c r="O1675" s="1218">
        <f>'Part IX A-Scoring Criteria'!O158</f>
        <v>0</v>
      </c>
      <c r="P1675" s="1218">
        <f>'Part IX A-Scoring Criteria'!P158</f>
        <v>0</v>
      </c>
      <c r="Q1675" s="1571"/>
    </row>
    <row r="1676" spans="1:21">
      <c r="A1676" s="196" t="s">
        <v>779</v>
      </c>
      <c r="B1676" s="1159" t="s">
        <v>2917</v>
      </c>
      <c r="C1676" s="1159"/>
      <c r="D1676" s="533"/>
      <c r="M1676" s="484"/>
      <c r="N1676" s="615"/>
      <c r="O1676" s="1407"/>
      <c r="P1676" s="1407"/>
    </row>
    <row r="1677" spans="1:21" ht="12.75" customHeight="1">
      <c r="B1677" s="1712"/>
      <c r="C1677" s="1221" t="s">
        <v>3943</v>
      </c>
      <c r="D1677" s="1221"/>
      <c r="E1677" s="1221"/>
      <c r="F1677" s="1221"/>
      <c r="G1677" s="1221"/>
      <c r="H1677" s="1221"/>
      <c r="I1677" s="1221"/>
      <c r="J1677" s="1221"/>
      <c r="L1677" s="1221"/>
      <c r="M1677" s="613">
        <v>10</v>
      </c>
      <c r="N1677" s="236" t="s">
        <v>779</v>
      </c>
      <c r="O1677" s="1218">
        <f>'Part IX A-Scoring Criteria'!O160</f>
        <v>0</v>
      </c>
      <c r="P1677" s="1218">
        <f>'Part IX A-Scoring Criteria'!P160</f>
        <v>0</v>
      </c>
      <c r="R1677" s="61" t="s">
        <v>3947</v>
      </c>
      <c r="S1677" s="61"/>
      <c r="T1677" s="2462" t="s">
        <v>3947</v>
      </c>
      <c r="U1677" s="2462"/>
    </row>
    <row r="1678" spans="1:21" ht="13.5">
      <c r="A1678" s="196" t="s">
        <v>2193</v>
      </c>
      <c r="B1678" s="1159" t="s">
        <v>3942</v>
      </c>
      <c r="C1678" s="1159"/>
      <c r="D1678" s="533"/>
      <c r="I1678" s="1713" t="s">
        <v>4219</v>
      </c>
      <c r="J1678" s="1197" t="s">
        <v>4218</v>
      </c>
      <c r="K1678" s="1714" t="s">
        <v>4086</v>
      </c>
      <c r="M1678" s="484">
        <v>4</v>
      </c>
      <c r="N1678" s="69" t="s">
        <v>2193</v>
      </c>
      <c r="O1678" s="1704">
        <f>'Part IX A-Scoring Criteria'!O161</f>
        <v>0</v>
      </c>
      <c r="P1678" s="1704">
        <f>'Part IX A-Scoring Criteria'!P161</f>
        <v>0</v>
      </c>
      <c r="R1678" s="467" t="s">
        <v>3422</v>
      </c>
      <c r="S1678" s="600" t="s">
        <v>268</v>
      </c>
      <c r="T1678" s="485" t="s">
        <v>3422</v>
      </c>
      <c r="U1678" s="488" t="s">
        <v>268</v>
      </c>
    </row>
    <row r="1679" spans="1:21">
      <c r="B1679" s="1699" t="s">
        <v>2062</v>
      </c>
      <c r="C1679" s="1176" t="s">
        <v>3944</v>
      </c>
      <c r="D1679" s="1176"/>
      <c r="E1679" s="1176"/>
      <c r="F1679" s="1176"/>
      <c r="G1679" s="1176"/>
      <c r="H1679" s="1176"/>
      <c r="I1679" s="1715">
        <f>'Part IX A-Scoring Criteria'!I162</f>
        <v>0</v>
      </c>
      <c r="J1679" s="1715">
        <f>'Part IX A-Scoring Criteria'!J162</f>
        <v>0</v>
      </c>
      <c r="K1679" s="1218">
        <f>'Part IX A-Scoring Criteria'!K162</f>
        <v>0</v>
      </c>
      <c r="L1679" s="1218">
        <f>'Part IX A-Scoring Criteria'!L162</f>
        <v>0</v>
      </c>
      <c r="M1679" s="1716" t="str">
        <f>IF(OR(SUM(T1679:T1683)&gt;1,SUM(U1679:U1683)&gt;1),"Only one category can be met by other means!","")</f>
        <v/>
      </c>
      <c r="N1679" s="1717" t="s">
        <v>2062</v>
      </c>
      <c r="O1679" s="1718" t="str">
        <f>'Part IX A-Scoring Criteria'!O162</f>
        <v>No</v>
      </c>
      <c r="P1679" s="1218">
        <f>'Part IX A-Scoring Criteria'!P162</f>
        <v>0</v>
      </c>
      <c r="R1679" s="600">
        <f>IF(O1679="Yes",1,0)</f>
        <v>0</v>
      </c>
      <c r="S1679" s="600">
        <f>IF(P1679="Yes",1,0)</f>
        <v>0</v>
      </c>
      <c r="T1679" s="488">
        <f>IF(K1679="Yes",1,0)</f>
        <v>0</v>
      </c>
      <c r="U1679" s="488">
        <f>IF(L1679="Yes",1,0)</f>
        <v>0</v>
      </c>
    </row>
    <row r="1680" spans="1:21">
      <c r="B1680" s="1699" t="s">
        <v>2064</v>
      </c>
      <c r="C1680" s="825" t="s">
        <v>4217</v>
      </c>
      <c r="D1680" s="1176"/>
      <c r="E1680" s="1176"/>
      <c r="F1680" s="1176"/>
      <c r="G1680" s="1176"/>
      <c r="H1680" s="1176"/>
      <c r="I1680" s="1715" t="str">
        <f>'Part IX A-Scoring Criteria'!I163</f>
        <v>No</v>
      </c>
      <c r="J1680" s="1715" t="str">
        <f>'Part IX A-Scoring Criteria'!J163</f>
        <v>No</v>
      </c>
      <c r="K1680" s="1218">
        <f>'Part IX A-Scoring Criteria'!K163</f>
        <v>0</v>
      </c>
      <c r="L1680" s="1218">
        <f>'Part IX A-Scoring Criteria'!L163</f>
        <v>0</v>
      </c>
      <c r="M1680" s="1716"/>
      <c r="N1680" s="1717" t="s">
        <v>2064</v>
      </c>
      <c r="O1680" s="1718" t="str">
        <f>'Part IX A-Scoring Criteria'!O163</f>
        <v>No</v>
      </c>
      <c r="P1680" s="1218">
        <f>'Part IX A-Scoring Criteria'!P163</f>
        <v>0</v>
      </c>
      <c r="R1680" s="600">
        <f t="shared" ref="R1680:S1683" si="302">IF(O1680="Yes",1,0)</f>
        <v>0</v>
      </c>
      <c r="S1680" s="600">
        <f t="shared" si="302"/>
        <v>0</v>
      </c>
      <c r="T1680" s="488">
        <f t="shared" ref="T1680:U1683" si="303">IF(K1680="Yes",1,0)</f>
        <v>0</v>
      </c>
      <c r="U1680" s="488">
        <f t="shared" si="303"/>
        <v>0</v>
      </c>
    </row>
    <row r="1681" spans="1:21">
      <c r="B1681" s="1699" t="s">
        <v>2622</v>
      </c>
      <c r="C1681" s="1176" t="s">
        <v>3946</v>
      </c>
      <c r="D1681" s="1176"/>
      <c r="E1681" s="1176"/>
      <c r="F1681" s="1176"/>
      <c r="G1681" s="1176"/>
      <c r="H1681" s="1176"/>
      <c r="I1681" s="1715">
        <f>'Part IX A-Scoring Criteria'!I164</f>
        <v>0</v>
      </c>
      <c r="J1681" s="1715">
        <f>'Part IX A-Scoring Criteria'!J164</f>
        <v>0</v>
      </c>
      <c r="K1681" s="1218">
        <f>'Part IX A-Scoring Criteria'!K164</f>
        <v>0</v>
      </c>
      <c r="L1681" s="1218">
        <f>'Part IX A-Scoring Criteria'!L164</f>
        <v>0</v>
      </c>
      <c r="M1681" s="1716"/>
      <c r="N1681" s="1717" t="s">
        <v>2622</v>
      </c>
      <c r="O1681" s="1718" t="str">
        <f>'Part IX A-Scoring Criteria'!O164</f>
        <v>No</v>
      </c>
      <c r="P1681" s="1218">
        <f>'Part IX A-Scoring Criteria'!P164</f>
        <v>0</v>
      </c>
      <c r="R1681" s="600">
        <f t="shared" si="302"/>
        <v>0</v>
      </c>
      <c r="S1681" s="600">
        <f t="shared" si="302"/>
        <v>0</v>
      </c>
      <c r="T1681" s="488">
        <f t="shared" si="303"/>
        <v>0</v>
      </c>
      <c r="U1681" s="488">
        <f t="shared" si="303"/>
        <v>0</v>
      </c>
    </row>
    <row r="1682" spans="1:21">
      <c r="B1682" s="1699" t="s">
        <v>1270</v>
      </c>
      <c r="C1682" s="1176" t="s">
        <v>3945</v>
      </c>
      <c r="D1682" s="1176"/>
      <c r="E1682" s="1176"/>
      <c r="F1682" s="1176"/>
      <c r="G1682" s="1176"/>
      <c r="H1682" s="1176"/>
      <c r="I1682" s="1715">
        <f>'Part IX A-Scoring Criteria'!I165</f>
        <v>0</v>
      </c>
      <c r="J1682" s="1715">
        <f>'Part IX A-Scoring Criteria'!J165</f>
        <v>0</v>
      </c>
      <c r="K1682" s="1218">
        <f>'Part IX A-Scoring Criteria'!K165</f>
        <v>0</v>
      </c>
      <c r="L1682" s="1218">
        <f>'Part IX A-Scoring Criteria'!L165</f>
        <v>0</v>
      </c>
      <c r="M1682" s="1716"/>
      <c r="N1682" s="1717" t="s">
        <v>1270</v>
      </c>
      <c r="O1682" s="1718" t="str">
        <f>'Part IX A-Scoring Criteria'!O165</f>
        <v>No</v>
      </c>
      <c r="P1682" s="1218">
        <f>'Part IX A-Scoring Criteria'!P165</f>
        <v>0</v>
      </c>
      <c r="R1682" s="600">
        <f t="shared" si="302"/>
        <v>0</v>
      </c>
      <c r="S1682" s="600">
        <f t="shared" si="302"/>
        <v>0</v>
      </c>
      <c r="T1682" s="488">
        <f t="shared" si="303"/>
        <v>0</v>
      </c>
      <c r="U1682" s="488">
        <f t="shared" si="303"/>
        <v>0</v>
      </c>
    </row>
    <row r="1683" spans="1:21">
      <c r="B1683" s="1699" t="s">
        <v>1271</v>
      </c>
      <c r="C1683" s="825" t="s">
        <v>4220</v>
      </c>
      <c r="D1683" s="1176"/>
      <c r="E1683" s="1176"/>
      <c r="F1683" s="1176"/>
      <c r="G1683" s="1176"/>
      <c r="H1683" s="1176"/>
      <c r="I1683" s="1719">
        <f>'Part IX A-Scoring Criteria'!I166</f>
        <v>0</v>
      </c>
      <c r="J1683" s="1719">
        <f>'Part IX A-Scoring Criteria'!J166</f>
        <v>0</v>
      </c>
      <c r="K1683" s="1218">
        <f>'Part IX A-Scoring Criteria'!K166</f>
        <v>0</v>
      </c>
      <c r="L1683" s="1218">
        <f>'Part IX A-Scoring Criteria'!L166</f>
        <v>0</v>
      </c>
      <c r="M1683" s="1716"/>
      <c r="N1683" s="1717" t="s">
        <v>1271</v>
      </c>
      <c r="O1683" s="1718" t="str">
        <f>'Part IX A-Scoring Criteria'!O166</f>
        <v>No</v>
      </c>
      <c r="P1683" s="1218">
        <f>'Part IX A-Scoring Criteria'!P166</f>
        <v>0</v>
      </c>
      <c r="R1683" s="600">
        <f t="shared" si="302"/>
        <v>0</v>
      </c>
      <c r="S1683" s="600">
        <f t="shared" si="302"/>
        <v>0</v>
      </c>
      <c r="T1683" s="488">
        <f t="shared" si="303"/>
        <v>0</v>
      </c>
      <c r="U1683" s="488">
        <f t="shared" si="303"/>
        <v>0</v>
      </c>
    </row>
    <row r="1684" spans="1:21" ht="15">
      <c r="A1684" s="533"/>
      <c r="B1684" s="71" t="s">
        <v>267</v>
      </c>
      <c r="C1684" s="533"/>
      <c r="D1684" s="109"/>
      <c r="E1684" s="109"/>
      <c r="F1684" s="109"/>
      <c r="G1684" s="109"/>
      <c r="H1684" s="54"/>
      <c r="I1684" s="54"/>
      <c r="J1684" s="56"/>
      <c r="K1684" s="56"/>
      <c r="L1684" s="56"/>
      <c r="M1684" s="484"/>
      <c r="N1684" s="615"/>
      <c r="O1684" s="3"/>
      <c r="P1684" s="31"/>
      <c r="Q1684" s="56"/>
      <c r="R1684" s="56"/>
      <c r="S1684" s="56"/>
    </row>
    <row r="1685" spans="1:21" ht="15.75">
      <c r="A1685" s="1221">
        <f>'Part IX A-Scoring Criteria'!A168</f>
        <v>0</v>
      </c>
      <c r="B1685" s="1221"/>
      <c r="C1685" s="1221"/>
      <c r="D1685" s="1221"/>
      <c r="E1685" s="1221"/>
      <c r="F1685" s="1221"/>
      <c r="G1685" s="1221"/>
      <c r="H1685" s="1221"/>
      <c r="I1685" s="1221"/>
      <c r="J1685" s="1221"/>
      <c r="K1685" s="1221"/>
      <c r="L1685" s="1221"/>
      <c r="M1685" s="1221"/>
      <c r="N1685" s="1221"/>
      <c r="O1685" s="1221"/>
      <c r="P1685" s="1221"/>
      <c r="Q1685" s="1660" t="s">
        <v>1301</v>
      </c>
      <c r="R1685" s="56"/>
      <c r="S1685" s="56"/>
    </row>
    <row r="1686" spans="1:21" ht="15">
      <c r="A1686" s="533"/>
      <c r="B1686" s="71" t="s">
        <v>1937</v>
      </c>
      <c r="C1686" s="533"/>
      <c r="D1686" s="147"/>
      <c r="E1686" s="1400"/>
      <c r="F1686" s="1400"/>
      <c r="G1686" s="1400"/>
      <c r="H1686" s="1400"/>
      <c r="I1686" s="1400"/>
      <c r="J1686" s="1400"/>
      <c r="K1686" s="1400"/>
      <c r="L1686" s="1400"/>
      <c r="M1686" s="1400"/>
      <c r="N1686" s="1672"/>
      <c r="O1686" s="75"/>
      <c r="P1686" s="1190"/>
      <c r="Q1686" s="1669"/>
      <c r="R1686" s="56"/>
      <c r="S1686" s="56"/>
    </row>
    <row r="1687" spans="1:21" ht="15.75">
      <c r="A1687" s="1221">
        <f>'Part IX A-Scoring Criteria'!A170</f>
        <v>0</v>
      </c>
      <c r="B1687" s="1221"/>
      <c r="C1687" s="1221"/>
      <c r="D1687" s="1221"/>
      <c r="E1687" s="1221"/>
      <c r="F1687" s="1221"/>
      <c r="G1687" s="1221"/>
      <c r="H1687" s="1221"/>
      <c r="I1687" s="1221"/>
      <c r="J1687" s="1221"/>
      <c r="K1687" s="1221"/>
      <c r="L1687" s="1221"/>
      <c r="M1687" s="1221"/>
      <c r="N1687" s="1221"/>
      <c r="O1687" s="1221"/>
      <c r="P1687" s="1221"/>
      <c r="Q1687" s="1660" t="s">
        <v>1301</v>
      </c>
      <c r="R1687" s="56"/>
      <c r="S1687" s="56"/>
    </row>
    <row r="1688" spans="1:21">
      <c r="N1688" s="615"/>
      <c r="O1688" s="31"/>
      <c r="P1688" s="31"/>
    </row>
    <row r="1689" spans="1:21" ht="15">
      <c r="A1689" s="1655" t="s">
        <v>225</v>
      </c>
      <c r="B1689" s="112" t="s">
        <v>2544</v>
      </c>
      <c r="C1689" s="56"/>
      <c r="D1689" s="124"/>
      <c r="E1689" s="124"/>
      <c r="F1689" s="124"/>
      <c r="G1689" s="56"/>
      <c r="H1689" s="1720" t="s">
        <v>3602</v>
      </c>
      <c r="I1689" s="56"/>
      <c r="J1689" s="56"/>
      <c r="K1689" s="109"/>
      <c r="L1689" s="56"/>
      <c r="M1689" s="1190">
        <v>4</v>
      </c>
      <c r="N1689" s="484"/>
      <c r="O1689" s="3">
        <f>'Part IX A-Scoring Criteria'!O172</f>
        <v>0</v>
      </c>
      <c r="P1689" s="3">
        <f>'Part IX A-Scoring Criteria'!P172</f>
        <v>0</v>
      </c>
      <c r="Q1689" s="1190" t="s">
        <v>456</v>
      </c>
      <c r="R1689" s="56"/>
      <c r="S1689" s="56"/>
    </row>
    <row r="1690" spans="1:21">
      <c r="A1690" s="67"/>
      <c r="B1690" s="1183"/>
      <c r="D1690" s="600"/>
      <c r="E1690" s="1183"/>
      <c r="H1690" s="234" t="s">
        <v>2913</v>
      </c>
      <c r="I1690" s="467"/>
      <c r="J1690" s="234" t="str">
        <f>'Part I-Project Information'!$H$90</f>
        <v>N/A - 4% Bond</v>
      </c>
      <c r="K1690" s="234"/>
    </row>
    <row r="1691" spans="1:21" ht="13.5">
      <c r="A1691" s="1219" t="s">
        <v>2058</v>
      </c>
      <c r="B1691" s="1159" t="s">
        <v>2312</v>
      </c>
      <c r="D1691" s="533"/>
      <c r="E1691" s="533"/>
      <c r="F1691" s="533"/>
      <c r="H1691" s="234" t="s">
        <v>4135</v>
      </c>
      <c r="I1691" s="467"/>
      <c r="J1691" s="234" t="str">
        <f>'Part I-Project Information'!$O$24</f>
        <v>No</v>
      </c>
      <c r="K1691" s="234"/>
      <c r="L1691" s="1721">
        <f>'Part I-Project Information'!$O$25</f>
        <v>0</v>
      </c>
      <c r="M1691" s="484">
        <v>3</v>
      </c>
      <c r="N1691" s="69" t="s">
        <v>2058</v>
      </c>
      <c r="O1691" s="3">
        <f>'Part IX A-Scoring Criteria'!O174</f>
        <v>0</v>
      </c>
      <c r="P1691" s="3">
        <f>'Part IX A-Scoring Criteria'!P174</f>
        <v>0</v>
      </c>
      <c r="Q1691" s="1571" t="s">
        <v>2811</v>
      </c>
    </row>
    <row r="1692" spans="1:21" ht="12.75" customHeight="1">
      <c r="A1692" s="467"/>
      <c r="B1692" s="1722" t="s">
        <v>2062</v>
      </c>
      <c r="C1692" s="1221" t="s">
        <v>3948</v>
      </c>
      <c r="D1692" s="1477"/>
      <c r="E1692" s="1477"/>
      <c r="F1692" s="1477"/>
      <c r="G1692" s="1477"/>
      <c r="H1692" s="1477"/>
      <c r="I1692" s="1477"/>
      <c r="J1692" s="1477"/>
      <c r="K1692" s="1477"/>
      <c r="L1692" s="1477"/>
      <c r="M1692" s="613"/>
      <c r="N1692" s="1666" t="s">
        <v>2062</v>
      </c>
      <c r="O1692" s="1218">
        <f>'Part IX A-Scoring Criteria'!O175</f>
        <v>0</v>
      </c>
      <c r="P1692" s="1218">
        <f>'Part IX A-Scoring Criteria'!P175</f>
        <v>0</v>
      </c>
      <c r="Q1692" s="467"/>
      <c r="R1692" s="467"/>
      <c r="S1692" s="467"/>
    </row>
    <row r="1693" spans="1:21">
      <c r="A1693" s="467"/>
      <c r="B1693" s="1668"/>
      <c r="C1693" s="54" t="s">
        <v>997</v>
      </c>
      <c r="D1693" s="467"/>
      <c r="E1693" s="467"/>
      <c r="F1693" s="467"/>
      <c r="G1693" s="467"/>
      <c r="H1693" s="1183" t="s">
        <v>2671</v>
      </c>
      <c r="I1693" s="467"/>
      <c r="J1693" s="1577">
        <f>'Part IX A-Scoring Criteria'!J176</f>
        <v>0</v>
      </c>
      <c r="K1693" s="1577"/>
      <c r="L1693" s="467"/>
      <c r="M1693" s="467"/>
      <c r="N1693" s="467"/>
      <c r="O1693" s="467"/>
      <c r="P1693" s="467"/>
      <c r="Q1693" s="467"/>
      <c r="R1693" s="467"/>
      <c r="S1693" s="467"/>
    </row>
    <row r="1694" spans="1:21">
      <c r="A1694" s="467"/>
      <c r="B1694" s="1668"/>
      <c r="C1694" s="54"/>
      <c r="D1694" s="467"/>
      <c r="E1694" s="467"/>
      <c r="F1694" s="467"/>
      <c r="G1694" s="467"/>
      <c r="H1694" s="1183" t="s">
        <v>2381</v>
      </c>
      <c r="I1694" s="467"/>
      <c r="J1694" s="61">
        <f>'Part IX A-Scoring Criteria'!J177</f>
        <v>0</v>
      </c>
      <c r="K1694" s="61"/>
      <c r="L1694" s="61"/>
      <c r="M1694" s="467"/>
      <c r="N1694" s="467"/>
      <c r="O1694" s="467"/>
      <c r="P1694" s="467"/>
      <c r="Q1694" s="467"/>
      <c r="R1694" s="467"/>
      <c r="S1694" s="467"/>
    </row>
    <row r="1695" spans="1:21">
      <c r="A1695" s="54"/>
      <c r="B1695" s="1668" t="s">
        <v>2064</v>
      </c>
      <c r="C1695" s="54" t="s">
        <v>998</v>
      </c>
      <c r="D1695" s="54"/>
      <c r="E1695" s="54"/>
      <c r="F1695" s="54"/>
      <c r="G1695" s="54"/>
      <c r="H1695" s="54"/>
      <c r="I1695" s="54"/>
      <c r="J1695" s="54"/>
      <c r="K1695" s="54"/>
      <c r="L1695" s="54"/>
      <c r="M1695" s="484"/>
      <c r="N1695" s="1673" t="s">
        <v>2064</v>
      </c>
      <c r="O1695" s="1218">
        <f>'Part IX A-Scoring Criteria'!O178</f>
        <v>0</v>
      </c>
      <c r="P1695" s="1218">
        <f>'Part IX A-Scoring Criteria'!P178</f>
        <v>0</v>
      </c>
      <c r="Q1695" s="54"/>
      <c r="R1695" s="54"/>
      <c r="S1695" s="54"/>
    </row>
    <row r="1696" spans="1:21">
      <c r="A1696" s="54"/>
      <c r="B1696" s="1668" t="s">
        <v>2622</v>
      </c>
      <c r="C1696" s="54" t="s">
        <v>999</v>
      </c>
      <c r="D1696" s="54"/>
      <c r="E1696" s="54"/>
      <c r="F1696" s="54"/>
      <c r="G1696" s="54"/>
      <c r="H1696" s="54"/>
      <c r="I1696" s="54"/>
      <c r="J1696" s="54"/>
      <c r="K1696" s="54"/>
      <c r="L1696" s="54"/>
      <c r="M1696" s="484"/>
      <c r="N1696" s="1673" t="s">
        <v>2622</v>
      </c>
      <c r="O1696" s="1218">
        <f>'Part IX A-Scoring Criteria'!O179</f>
        <v>0</v>
      </c>
      <c r="P1696" s="1218">
        <f>'Part IX A-Scoring Criteria'!P179</f>
        <v>0</v>
      </c>
      <c r="Q1696" s="54"/>
      <c r="R1696" s="54"/>
      <c r="S1696" s="54"/>
    </row>
    <row r="1697" spans="1:19">
      <c r="A1697" s="67"/>
      <c r="B1697" s="1668" t="s">
        <v>1270</v>
      </c>
      <c r="C1697" s="54" t="s">
        <v>1000</v>
      </c>
      <c r="D1697" s="54"/>
      <c r="E1697" s="54"/>
      <c r="F1697" s="54"/>
      <c r="G1697" s="54"/>
      <c r="H1697" s="54"/>
      <c r="I1697" s="54"/>
      <c r="J1697" s="54"/>
      <c r="K1697" s="54"/>
      <c r="L1697" s="54"/>
      <c r="M1697" s="484"/>
      <c r="N1697" s="1673" t="s">
        <v>1270</v>
      </c>
      <c r="O1697" s="1218">
        <f>'Part IX A-Scoring Criteria'!O180</f>
        <v>0</v>
      </c>
      <c r="P1697" s="1218">
        <f>'Part IX A-Scoring Criteria'!P180</f>
        <v>0</v>
      </c>
      <c r="Q1697" s="54"/>
      <c r="R1697" s="54"/>
      <c r="S1697" s="54"/>
    </row>
    <row r="1698" spans="1:19">
      <c r="A1698" s="1219" t="s">
        <v>2061</v>
      </c>
      <c r="B1698" s="1159" t="s">
        <v>3951</v>
      </c>
      <c r="C1698" s="533"/>
      <c r="D1698" s="533"/>
      <c r="E1698" s="533"/>
      <c r="F1698" s="533"/>
      <c r="G1698" s="533"/>
      <c r="H1698" s="1720" t="s">
        <v>3603</v>
      </c>
      <c r="I1698" s="533"/>
      <c r="J1698" s="533"/>
      <c r="K1698" s="533"/>
      <c r="L1698" s="533"/>
      <c r="M1698" s="484">
        <v>3</v>
      </c>
      <c r="N1698" s="69" t="s">
        <v>2061</v>
      </c>
      <c r="O1698" s="3">
        <f>'Part IX A-Scoring Criteria'!O181</f>
        <v>0</v>
      </c>
      <c r="P1698" s="3">
        <f>'Part IX A-Scoring Criteria'!P181</f>
        <v>0</v>
      </c>
      <c r="Q1698" s="533"/>
      <c r="R1698" s="533"/>
      <c r="S1698" s="533"/>
    </row>
    <row r="1699" spans="1:19">
      <c r="A1699" s="1219"/>
      <c r="B1699" s="109" t="s">
        <v>3953</v>
      </c>
      <c r="C1699" s="533"/>
      <c r="D1699" s="533"/>
      <c r="E1699" s="533"/>
      <c r="F1699" s="533"/>
      <c r="G1699" s="533"/>
      <c r="H1699" s="1720"/>
      <c r="I1699" s="533"/>
      <c r="J1699" s="533"/>
      <c r="K1699" s="533"/>
      <c r="L1699" s="533"/>
      <c r="M1699" s="533"/>
      <c r="N1699" s="533"/>
      <c r="O1699" s="533"/>
      <c r="P1699" s="533"/>
      <c r="Q1699" s="533"/>
      <c r="R1699" s="533"/>
      <c r="S1699" s="533"/>
    </row>
    <row r="1700" spans="1:19">
      <c r="A1700" s="533"/>
      <c r="B1700" s="1699" t="s">
        <v>2062</v>
      </c>
      <c r="C1700" s="234" t="s">
        <v>3956</v>
      </c>
      <c r="D1700" s="533"/>
      <c r="E1700" s="533"/>
      <c r="F1700" s="533"/>
      <c r="G1700" s="533"/>
      <c r="H1700" s="533"/>
      <c r="I1700" s="533"/>
      <c r="J1700" s="533"/>
      <c r="K1700" s="533"/>
      <c r="L1700" s="533"/>
      <c r="M1700" s="484">
        <v>3</v>
      </c>
      <c r="N1700" s="1717" t="s">
        <v>2062</v>
      </c>
      <c r="O1700" s="3">
        <f>'Part IX A-Scoring Criteria'!O183</f>
        <v>0</v>
      </c>
      <c r="P1700" s="3">
        <f>'Part IX A-Scoring Criteria'!P183</f>
        <v>0</v>
      </c>
      <c r="Q1700" s="573" t="s">
        <v>2811</v>
      </c>
      <c r="R1700" s="533"/>
      <c r="S1700" s="533"/>
    </row>
    <row r="1701" spans="1:19">
      <c r="A1701" s="1218" t="s">
        <v>1403</v>
      </c>
      <c r="B1701" s="1712" t="s">
        <v>2064</v>
      </c>
      <c r="C1701" s="1643" t="s">
        <v>3954</v>
      </c>
      <c r="D1701" s="533"/>
      <c r="E1701" s="533"/>
      <c r="F1701" s="533"/>
      <c r="G1701" s="1220"/>
      <c r="H1701" s="1720"/>
      <c r="I1701" s="1220"/>
      <c r="M1701" s="615">
        <v>2</v>
      </c>
      <c r="N1701" s="1717" t="s">
        <v>2064</v>
      </c>
      <c r="O1701" s="3">
        <f>'Part IX A-Scoring Criteria'!O184</f>
        <v>0</v>
      </c>
      <c r="P1701" s="3">
        <f>'Part IX A-Scoring Criteria'!P184</f>
        <v>0</v>
      </c>
      <c r="Q1701" s="573" t="s">
        <v>2811</v>
      </c>
    </row>
    <row r="1702" spans="1:19">
      <c r="A1702" s="1219" t="s">
        <v>779</v>
      </c>
      <c r="B1702" s="1159" t="s">
        <v>3952</v>
      </c>
      <c r="C1702" s="533"/>
      <c r="D1702" s="533"/>
      <c r="E1702" s="533"/>
      <c r="F1702" s="533"/>
      <c r="G1702" s="533"/>
      <c r="H1702" s="1720" t="s">
        <v>3960</v>
      </c>
      <c r="I1702" s="533"/>
      <c r="J1702" s="533"/>
      <c r="K1702" s="533"/>
      <c r="L1702" s="533"/>
      <c r="M1702" s="484">
        <v>4</v>
      </c>
      <c r="N1702" s="69" t="s">
        <v>779</v>
      </c>
      <c r="O1702" s="3">
        <f>'Part IX A-Scoring Criteria'!O185</f>
        <v>0</v>
      </c>
      <c r="P1702" s="3">
        <f>'Part IX A-Scoring Criteria'!P185</f>
        <v>0</v>
      </c>
      <c r="Q1702" s="533"/>
      <c r="R1702" s="533"/>
      <c r="S1702" s="533"/>
    </row>
    <row r="1703" spans="1:19">
      <c r="A1703" s="1219"/>
      <c r="B1703" s="109" t="s">
        <v>3957</v>
      </c>
      <c r="C1703" s="533"/>
      <c r="D1703" s="533"/>
      <c r="E1703" s="533"/>
      <c r="F1703" s="533"/>
      <c r="G1703" s="533"/>
      <c r="H1703" s="1720"/>
      <c r="I1703" s="533"/>
      <c r="J1703" s="533"/>
      <c r="K1703" s="533"/>
      <c r="L1703" s="533"/>
      <c r="M1703" s="533"/>
      <c r="N1703" s="533"/>
      <c r="O1703" s="533"/>
      <c r="P1703" s="533"/>
      <c r="Q1703" s="533"/>
      <c r="R1703" s="533"/>
      <c r="S1703" s="533"/>
    </row>
    <row r="1704" spans="1:19">
      <c r="A1704" s="533"/>
      <c r="B1704" s="1699" t="s">
        <v>2062</v>
      </c>
      <c r="C1704" s="234" t="s">
        <v>3959</v>
      </c>
      <c r="D1704" s="533"/>
      <c r="E1704" s="533"/>
      <c r="F1704" s="533"/>
      <c r="G1704" s="533"/>
      <c r="H1704" s="533"/>
      <c r="I1704" s="533"/>
      <c r="J1704" s="533"/>
      <c r="K1704" s="1158" t="str">
        <f>IF(AND(O1704&gt;0,O1706&gt;0),"Choose either option 1 or option 3!!!","")</f>
        <v/>
      </c>
      <c r="L1704" s="1158"/>
      <c r="M1704" s="484">
        <v>3</v>
      </c>
      <c r="N1704" s="1717" t="s">
        <v>2062</v>
      </c>
      <c r="O1704" s="3">
        <f>'Part IX A-Scoring Criteria'!O187</f>
        <v>0</v>
      </c>
      <c r="P1704" s="3">
        <f>'Part IX A-Scoring Criteria'!P187</f>
        <v>0</v>
      </c>
      <c r="Q1704" s="573" t="s">
        <v>2811</v>
      </c>
      <c r="R1704" s="533"/>
      <c r="S1704" s="533"/>
    </row>
    <row r="1705" spans="1:19">
      <c r="A1705" s="1218"/>
      <c r="B1705" s="1712" t="s">
        <v>2064</v>
      </c>
      <c r="C1705" s="467" t="s">
        <v>3955</v>
      </c>
      <c r="D1705" s="533"/>
      <c r="E1705" s="533"/>
      <c r="F1705" s="533"/>
      <c r="G1705" s="1220"/>
      <c r="H1705" s="101" t="s">
        <v>3961</v>
      </c>
      <c r="I1705" s="1220"/>
      <c r="K1705" s="1158"/>
      <c r="L1705" s="1158"/>
      <c r="M1705" s="615">
        <v>1</v>
      </c>
      <c r="N1705" s="1717" t="s">
        <v>2064</v>
      </c>
      <c r="O1705" s="3">
        <f>'Part IX A-Scoring Criteria'!O188</f>
        <v>0</v>
      </c>
      <c r="P1705" s="3">
        <f>'Part IX A-Scoring Criteria'!P188</f>
        <v>0</v>
      </c>
      <c r="Q1705" s="573" t="s">
        <v>2811</v>
      </c>
    </row>
    <row r="1706" spans="1:19">
      <c r="A1706" s="1218" t="s">
        <v>1403</v>
      </c>
      <c r="B1706" s="1712" t="s">
        <v>2622</v>
      </c>
      <c r="C1706" s="1643" t="s">
        <v>3958</v>
      </c>
      <c r="D1706" s="533"/>
      <c r="E1706" s="533"/>
      <c r="F1706" s="533"/>
      <c r="G1706" s="1220"/>
      <c r="H1706" s="1720"/>
      <c r="I1706" s="1220"/>
      <c r="K1706" s="1158"/>
      <c r="L1706" s="1158"/>
      <c r="M1706" s="615">
        <v>2</v>
      </c>
      <c r="N1706" s="1717" t="s">
        <v>2622</v>
      </c>
      <c r="O1706" s="3">
        <f>'Part IX A-Scoring Criteria'!O189</f>
        <v>0</v>
      </c>
      <c r="P1706" s="3">
        <f>'Part IX A-Scoring Criteria'!P189</f>
        <v>0</v>
      </c>
      <c r="Q1706" s="573" t="s">
        <v>2811</v>
      </c>
    </row>
    <row r="1707" spans="1:19" ht="15">
      <c r="A1707" s="533"/>
      <c r="B1707" s="71" t="s">
        <v>267</v>
      </c>
      <c r="C1707" s="533"/>
      <c r="D1707" s="109"/>
      <c r="E1707" s="109"/>
      <c r="F1707" s="109"/>
      <c r="G1707" s="109"/>
      <c r="H1707" s="54"/>
      <c r="I1707" s="54"/>
      <c r="J1707" s="54"/>
      <c r="K1707" s="54"/>
      <c r="L1707" s="56"/>
      <c r="M1707" s="484"/>
      <c r="N1707" s="615"/>
      <c r="O1707" s="3"/>
      <c r="P1707" s="31"/>
      <c r="Q1707" s="56"/>
      <c r="R1707" s="56"/>
      <c r="S1707" s="56"/>
    </row>
    <row r="1708" spans="1:19" ht="15.75">
      <c r="A1708" s="1221">
        <f>'Part IX A-Scoring Criteria'!A191</f>
        <v>0</v>
      </c>
      <c r="B1708" s="1221"/>
      <c r="C1708" s="1221"/>
      <c r="D1708" s="1221"/>
      <c r="E1708" s="1221"/>
      <c r="F1708" s="1221"/>
      <c r="G1708" s="1221"/>
      <c r="H1708" s="1221"/>
      <c r="I1708" s="1221"/>
      <c r="J1708" s="1221"/>
      <c r="K1708" s="1221"/>
      <c r="L1708" s="1221"/>
      <c r="M1708" s="1221"/>
      <c r="N1708" s="1221"/>
      <c r="O1708" s="1221"/>
      <c r="P1708" s="1221"/>
      <c r="Q1708" s="1660" t="s">
        <v>1301</v>
      </c>
      <c r="R1708" s="56"/>
      <c r="S1708" s="56"/>
    </row>
    <row r="1709" spans="1:19" ht="15">
      <c r="A1709" s="533"/>
      <c r="B1709" s="71" t="s">
        <v>1937</v>
      </c>
      <c r="C1709" s="533"/>
      <c r="D1709" s="147"/>
      <c r="E1709" s="1400"/>
      <c r="F1709" s="1400"/>
      <c r="G1709" s="1400"/>
      <c r="H1709" s="1400"/>
      <c r="I1709" s="1400"/>
      <c r="J1709" s="1400"/>
      <c r="K1709" s="1400"/>
      <c r="L1709" s="1400"/>
      <c r="M1709" s="1400"/>
      <c r="N1709" s="1672"/>
      <c r="O1709" s="75"/>
      <c r="P1709" s="1190"/>
      <c r="Q1709" s="1669"/>
      <c r="R1709" s="56"/>
      <c r="S1709" s="56"/>
    </row>
    <row r="1710" spans="1:19" ht="15.75">
      <c r="A1710" s="1221">
        <f>'Part IX A-Scoring Criteria'!A193</f>
        <v>0</v>
      </c>
      <c r="B1710" s="1221"/>
      <c r="C1710" s="1221"/>
      <c r="D1710" s="1221"/>
      <c r="E1710" s="1221"/>
      <c r="F1710" s="1221"/>
      <c r="G1710" s="1221"/>
      <c r="H1710" s="1221"/>
      <c r="I1710" s="1221"/>
      <c r="J1710" s="1221"/>
      <c r="K1710" s="1221"/>
      <c r="L1710" s="1221"/>
      <c r="M1710" s="1221"/>
      <c r="N1710" s="1221"/>
      <c r="O1710" s="1221"/>
      <c r="P1710" s="1221"/>
      <c r="Q1710" s="1660" t="s">
        <v>1301</v>
      </c>
      <c r="R1710" s="56"/>
      <c r="S1710" s="56"/>
    </row>
    <row r="1711" spans="1:19">
      <c r="N1711" s="615"/>
      <c r="O1711" s="31"/>
      <c r="P1711" s="31"/>
    </row>
    <row r="1712" spans="1:19" ht="15">
      <c r="A1712" s="1655" t="s">
        <v>226</v>
      </c>
      <c r="B1712" s="112" t="s">
        <v>3595</v>
      </c>
      <c r="C1712" s="56"/>
      <c r="D1712" s="56"/>
      <c r="E1712" s="124"/>
      <c r="F1712" s="124"/>
      <c r="G1712" s="56"/>
      <c r="H1712" s="1720"/>
      <c r="I1712" s="56"/>
      <c r="J1712" s="56"/>
      <c r="K1712" s="109"/>
      <c r="L1712" s="1663"/>
      <c r="M1712" s="1190">
        <v>2</v>
      </c>
      <c r="N1712" s="1685"/>
      <c r="O1712" s="3">
        <f>'Part IX A-Scoring Criteria'!O195</f>
        <v>2</v>
      </c>
      <c r="P1712" s="3">
        <f>'Part IX A-Scoring Criteria'!P195</f>
        <v>2</v>
      </c>
      <c r="Q1712" s="1190" t="s">
        <v>456</v>
      </c>
      <c r="R1712" s="61" t="s">
        <v>3947</v>
      </c>
      <c r="S1712" s="61"/>
    </row>
    <row r="1713" spans="1:19">
      <c r="B1713" s="467" t="s">
        <v>1729</v>
      </c>
      <c r="M1713" s="1683"/>
      <c r="O1713" s="600" t="s">
        <v>2597</v>
      </c>
      <c r="P1713" s="600" t="s">
        <v>2597</v>
      </c>
      <c r="R1713" s="467" t="s">
        <v>3422</v>
      </c>
      <c r="S1713" s="600" t="s">
        <v>268</v>
      </c>
    </row>
    <row r="1714" spans="1:19" ht="12.75" customHeight="1">
      <c r="A1714" s="781" t="s">
        <v>2058</v>
      </c>
      <c r="B1714" s="1221" t="s">
        <v>3962</v>
      </c>
      <c r="C1714" s="1221"/>
      <c r="D1714" s="1221"/>
      <c r="E1714" s="1221"/>
      <c r="F1714" s="1221"/>
      <c r="G1714" s="1221"/>
      <c r="H1714" s="1221"/>
      <c r="I1714" s="1221"/>
      <c r="J1714" s="1221"/>
      <c r="K1714" s="1221"/>
      <c r="L1714" s="1221"/>
      <c r="M1714" s="1477"/>
      <c r="N1714" s="236" t="s">
        <v>2058</v>
      </c>
      <c r="O1714" s="1218">
        <f>'Part IX A-Scoring Criteria'!O197</f>
        <v>0</v>
      </c>
      <c r="P1714" s="1218">
        <f>'Part IX A-Scoring Criteria'!P197</f>
        <v>0</v>
      </c>
      <c r="Q1714" s="532"/>
      <c r="R1714" s="232">
        <f t="shared" ref="R1714:S1717" si="304">IF(O1714="Yes",1,0)</f>
        <v>0</v>
      </c>
      <c r="S1714" s="232">
        <f t="shared" si="304"/>
        <v>0</v>
      </c>
    </row>
    <row r="1715" spans="1:19" ht="12.75" customHeight="1">
      <c r="A1715" s="781" t="s">
        <v>2061</v>
      </c>
      <c r="B1715" s="1221" t="s">
        <v>2842</v>
      </c>
      <c r="C1715" s="1221"/>
      <c r="D1715" s="1221"/>
      <c r="E1715" s="1221"/>
      <c r="F1715" s="1221"/>
      <c r="G1715" s="1221"/>
      <c r="H1715" s="1221"/>
      <c r="I1715" s="1221"/>
      <c r="J1715" s="1221"/>
      <c r="K1715" s="1221"/>
      <c r="L1715" s="1221"/>
      <c r="M1715" s="1477"/>
      <c r="N1715" s="236" t="s">
        <v>2061</v>
      </c>
      <c r="O1715" s="1218">
        <f>'Part IX A-Scoring Criteria'!O198</f>
        <v>0</v>
      </c>
      <c r="P1715" s="1218">
        <f>'Part IX A-Scoring Criteria'!P198</f>
        <v>0</v>
      </c>
      <c r="Q1715" s="532"/>
      <c r="R1715" s="232">
        <f t="shared" si="304"/>
        <v>0</v>
      </c>
      <c r="S1715" s="232">
        <f t="shared" si="304"/>
        <v>0</v>
      </c>
    </row>
    <row r="1716" spans="1:19">
      <c r="A1716" s="781" t="s">
        <v>779</v>
      </c>
      <c r="B1716" s="150" t="s">
        <v>1730</v>
      </c>
      <c r="C1716" s="532"/>
      <c r="D1716" s="532"/>
      <c r="E1716" s="532"/>
      <c r="F1716" s="532"/>
      <c r="G1716" s="532"/>
      <c r="H1716" s="532"/>
      <c r="I1716" s="532"/>
      <c r="J1716" s="532"/>
      <c r="K1716" s="532"/>
      <c r="L1716" s="532"/>
      <c r="M1716" s="1723"/>
      <c r="N1716" s="69" t="s">
        <v>779</v>
      </c>
      <c r="O1716" s="1218">
        <f>'Part IX A-Scoring Criteria'!O199</f>
        <v>0</v>
      </c>
      <c r="P1716" s="1218">
        <f>'Part IX A-Scoring Criteria'!P199</f>
        <v>0</v>
      </c>
      <c r="Q1716" s="532"/>
      <c r="R1716" s="600">
        <f t="shared" si="304"/>
        <v>0</v>
      </c>
      <c r="S1716" s="600">
        <f t="shared" si="304"/>
        <v>0</v>
      </c>
    </row>
    <row r="1717" spans="1:19">
      <c r="A1717" s="781" t="s">
        <v>2193</v>
      </c>
      <c r="B1717" s="150" t="s">
        <v>3963</v>
      </c>
      <c r="C1717" s="532"/>
      <c r="D1717" s="532"/>
      <c r="E1717" s="532"/>
      <c r="F1717" s="532"/>
      <c r="G1717" s="532"/>
      <c r="H1717" s="532"/>
      <c r="I1717" s="532"/>
      <c r="J1717" s="532"/>
      <c r="K1717" s="532"/>
      <c r="L1717" s="532"/>
      <c r="M1717" s="1723"/>
      <c r="N1717" s="69" t="s">
        <v>2193</v>
      </c>
      <c r="O1717" s="1218">
        <f>'Part IX A-Scoring Criteria'!O200</f>
        <v>0</v>
      </c>
      <c r="P1717" s="1218">
        <f>'Part IX A-Scoring Criteria'!P200</f>
        <v>0</v>
      </c>
      <c r="Q1717" s="532"/>
      <c r="R1717" s="600">
        <f t="shared" si="304"/>
        <v>0</v>
      </c>
      <c r="S1717" s="600">
        <f t="shared" si="304"/>
        <v>0</v>
      </c>
    </row>
    <row r="1718" spans="1:19" ht="15">
      <c r="A1718" s="236"/>
      <c r="B1718" s="71" t="s">
        <v>267</v>
      </c>
      <c r="C1718" s="533"/>
      <c r="D1718" s="109"/>
      <c r="E1718" s="109"/>
      <c r="F1718" s="109"/>
      <c r="G1718" s="109"/>
      <c r="H1718" s="54"/>
      <c r="I1718" s="54"/>
      <c r="J1718" s="54"/>
      <c r="K1718" s="54"/>
      <c r="L1718" s="56"/>
      <c r="M1718" s="484"/>
      <c r="N1718" s="615"/>
      <c r="O1718" s="3"/>
      <c r="P1718" s="31"/>
      <c r="Q1718" s="56"/>
      <c r="R1718" s="56"/>
      <c r="S1718" s="56"/>
    </row>
    <row r="1719" spans="1:19" ht="15.75">
      <c r="A1719" s="1221">
        <f>'Part IX A-Scoring Criteria'!A202</f>
        <v>0</v>
      </c>
      <c r="B1719" s="1221"/>
      <c r="C1719" s="1221"/>
      <c r="D1719" s="1221"/>
      <c r="E1719" s="1221"/>
      <c r="F1719" s="1221"/>
      <c r="G1719" s="1221"/>
      <c r="H1719" s="1221"/>
      <c r="I1719" s="1221"/>
      <c r="J1719" s="1221"/>
      <c r="K1719" s="1221"/>
      <c r="L1719" s="1221"/>
      <c r="M1719" s="1221"/>
      <c r="N1719" s="1221"/>
      <c r="O1719" s="1221"/>
      <c r="P1719" s="1221"/>
      <c r="Q1719" s="1660" t="s">
        <v>1301</v>
      </c>
      <c r="R1719" s="56"/>
      <c r="S1719" s="56"/>
    </row>
    <row r="1720" spans="1:19" ht="15">
      <c r="A1720" s="533"/>
      <c r="B1720" s="71" t="s">
        <v>1937</v>
      </c>
      <c r="C1720" s="533"/>
      <c r="D1720" s="147"/>
      <c r="E1720" s="1400"/>
      <c r="F1720" s="1400"/>
      <c r="G1720" s="1400"/>
      <c r="H1720" s="1400"/>
      <c r="I1720" s="1400"/>
      <c r="J1720" s="1400"/>
      <c r="K1720" s="1400"/>
      <c r="L1720" s="1400"/>
      <c r="M1720" s="1400"/>
      <c r="N1720" s="1672"/>
      <c r="O1720" s="75"/>
      <c r="P1720" s="1190"/>
      <c r="Q1720" s="1669"/>
      <c r="R1720" s="56"/>
      <c r="S1720" s="56"/>
    </row>
    <row r="1721" spans="1:19" ht="15.75">
      <c r="A1721" s="1221">
        <f>'Part IX A-Scoring Criteria'!A204</f>
        <v>0</v>
      </c>
      <c r="B1721" s="1221"/>
      <c r="C1721" s="1221"/>
      <c r="D1721" s="1221"/>
      <c r="E1721" s="1221"/>
      <c r="F1721" s="1221"/>
      <c r="G1721" s="1221"/>
      <c r="H1721" s="1221"/>
      <c r="I1721" s="1221"/>
      <c r="J1721" s="1221"/>
      <c r="K1721" s="1221"/>
      <c r="L1721" s="1221"/>
      <c r="M1721" s="1221"/>
      <c r="N1721" s="1221"/>
      <c r="O1721" s="1221"/>
      <c r="P1721" s="1221"/>
      <c r="Q1721" s="1660" t="s">
        <v>1301</v>
      </c>
      <c r="R1721" s="56"/>
      <c r="S1721" s="56"/>
    </row>
    <row r="1722" spans="1:19">
      <c r="N1722" s="615"/>
      <c r="O1722" s="31"/>
      <c r="P1722" s="31"/>
    </row>
    <row r="1723" spans="1:19" ht="15">
      <c r="A1723" s="166" t="s">
        <v>227</v>
      </c>
      <c r="B1723" s="112" t="s">
        <v>2955</v>
      </c>
      <c r="C1723" s="56"/>
      <c r="D1723" s="124"/>
      <c r="E1723" s="124"/>
      <c r="F1723" s="124"/>
      <c r="G1723" s="56"/>
      <c r="H1723" s="54"/>
      <c r="I1723" s="1720" t="s">
        <v>414</v>
      </c>
      <c r="J1723" s="56"/>
      <c r="K1723" s="109"/>
      <c r="L1723" s="56"/>
      <c r="M1723" s="1190">
        <v>1</v>
      </c>
      <c r="N1723" s="484"/>
      <c r="O1723" s="3">
        <f>'Part IX A-Scoring Criteria'!O206</f>
        <v>0</v>
      </c>
      <c r="P1723" s="3">
        <f>'Part IX A-Scoring Criteria'!P206</f>
        <v>0</v>
      </c>
      <c r="Q1723" s="1190" t="s">
        <v>456</v>
      </c>
      <c r="R1723" s="56"/>
      <c r="S1723" s="56"/>
    </row>
    <row r="1724" spans="1:19" ht="15">
      <c r="A1724" s="196" t="s">
        <v>2058</v>
      </c>
      <c r="B1724" s="1159" t="s">
        <v>2313</v>
      </c>
      <c r="C1724" s="98"/>
      <c r="D1724" s="1720"/>
      <c r="E1724" s="1720"/>
      <c r="F1724" s="1653"/>
      <c r="H1724" s="98"/>
      <c r="I1724" s="98"/>
      <c r="J1724" s="98"/>
      <c r="K1724" s="98"/>
      <c r="L1724" s="98"/>
      <c r="M1724" s="484">
        <v>1</v>
      </c>
      <c r="N1724" s="69" t="s">
        <v>2058</v>
      </c>
      <c r="O1724" s="3">
        <f>'Part IX A-Scoring Criteria'!O207</f>
        <v>0</v>
      </c>
      <c r="P1724" s="3">
        <f>'Part IX A-Scoring Criteria'!P207</f>
        <v>0</v>
      </c>
      <c r="Q1724" s="1571" t="s">
        <v>2811</v>
      </c>
      <c r="R1724" s="98"/>
      <c r="S1724" s="98"/>
    </row>
    <row r="1725" spans="1:19" ht="15">
      <c r="A1725" s="196"/>
      <c r="B1725" s="1220" t="s">
        <v>2794</v>
      </c>
      <c r="C1725" s="98"/>
      <c r="D1725" s="1720"/>
      <c r="E1725" s="1720"/>
      <c r="F1725" s="1653"/>
      <c r="H1725" s="98"/>
      <c r="I1725" s="98"/>
      <c r="J1725" s="98"/>
      <c r="K1725" s="69"/>
      <c r="L1725" s="98"/>
      <c r="M1725" s="484"/>
      <c r="N1725" s="69"/>
      <c r="O1725" s="1218">
        <f>'Part IX A-Scoring Criteria'!O208</f>
        <v>0</v>
      </c>
      <c r="P1725" s="1218">
        <f>'Part IX A-Scoring Criteria'!P208</f>
        <v>0</v>
      </c>
      <c r="Q1725" s="1571"/>
      <c r="R1725" s="1663"/>
      <c r="S1725" s="98"/>
    </row>
    <row r="1726" spans="1:19" ht="15">
      <c r="A1726" s="196" t="s">
        <v>2061</v>
      </c>
      <c r="B1726" s="1159" t="s">
        <v>2314</v>
      </c>
      <c r="C1726" s="56"/>
      <c r="D1726" s="54"/>
      <c r="E1726" s="56"/>
      <c r="F1726" s="56"/>
      <c r="G1726" s="56"/>
      <c r="H1726" s="56"/>
      <c r="I1726" s="56"/>
      <c r="J1726" s="56"/>
      <c r="K1726" s="54"/>
      <c r="L1726" s="98"/>
      <c r="M1726" s="484">
        <v>1</v>
      </c>
      <c r="N1726" s="69" t="s">
        <v>2061</v>
      </c>
      <c r="O1726" s="3">
        <f>'Part IX A-Scoring Criteria'!O209</f>
        <v>0</v>
      </c>
      <c r="P1726" s="3">
        <f>'Part IX A-Scoring Criteria'!P209</f>
        <v>0</v>
      </c>
      <c r="Q1726" s="1571" t="s">
        <v>2811</v>
      </c>
      <c r="R1726" s="56"/>
      <c r="S1726" s="56"/>
    </row>
    <row r="1727" spans="1:19" ht="15">
      <c r="A1727" s="196"/>
      <c r="B1727" s="1220" t="s">
        <v>3964</v>
      </c>
      <c r="C1727" s="56"/>
      <c r="D1727" s="54"/>
      <c r="E1727" s="56"/>
      <c r="F1727" s="56"/>
      <c r="G1727" s="56"/>
      <c r="H1727" s="1407"/>
      <c r="I1727" s="56"/>
      <c r="J1727" s="56"/>
      <c r="K1727" s="54"/>
      <c r="L1727" s="98"/>
      <c r="M1727" s="484"/>
      <c r="N1727" s="69"/>
      <c r="O1727" s="1218">
        <f>'Part IX A-Scoring Criteria'!O210</f>
        <v>0</v>
      </c>
      <c r="P1727" s="1218">
        <f>'Part IX A-Scoring Criteria'!P210</f>
        <v>0</v>
      </c>
      <c r="Q1727" s="1571"/>
      <c r="R1727" s="1663"/>
      <c r="S1727" s="56"/>
    </row>
    <row r="1728" spans="1:19" ht="15">
      <c r="A1728" s="533"/>
      <c r="B1728" s="147" t="s">
        <v>1937</v>
      </c>
      <c r="C1728" s="533"/>
      <c r="D1728" s="147"/>
      <c r="E1728" s="1400"/>
      <c r="F1728" s="1400"/>
      <c r="G1728" s="1400"/>
      <c r="H1728" s="1400"/>
      <c r="I1728" s="1400"/>
      <c r="J1728" s="1400"/>
      <c r="K1728" s="1400"/>
      <c r="L1728" s="1400"/>
      <c r="M1728" s="1400"/>
      <c r="N1728" s="1672"/>
      <c r="O1728" s="75"/>
      <c r="P1728" s="1190"/>
      <c r="Q1728" s="1669"/>
      <c r="R1728" s="56"/>
      <c r="S1728" s="56"/>
    </row>
    <row r="1729" spans="1:19" ht="15.75">
      <c r="A1729" s="1221">
        <f>'Part IX A-Scoring Criteria'!A212</f>
        <v>0</v>
      </c>
      <c r="B1729" s="1221"/>
      <c r="C1729" s="1221"/>
      <c r="D1729" s="1221"/>
      <c r="E1729" s="1221"/>
      <c r="F1729" s="1221"/>
      <c r="G1729" s="1221"/>
      <c r="H1729" s="1221"/>
      <c r="I1729" s="1221"/>
      <c r="J1729" s="1221"/>
      <c r="K1729" s="1221"/>
      <c r="L1729" s="1221"/>
      <c r="M1729" s="1221"/>
      <c r="N1729" s="1221"/>
      <c r="O1729" s="1221"/>
      <c r="P1729" s="1221"/>
      <c r="Q1729" s="1660" t="s">
        <v>1301</v>
      </c>
      <c r="R1729" s="56"/>
      <c r="S1729" s="56"/>
    </row>
    <row r="1730" spans="1:19" ht="15">
      <c r="A1730" s="533"/>
      <c r="B1730" s="533"/>
      <c r="C1730" s="1400"/>
      <c r="D1730" s="1400"/>
      <c r="E1730" s="1400"/>
      <c r="F1730" s="1400"/>
      <c r="G1730" s="1400"/>
      <c r="H1730" s="1400"/>
      <c r="I1730" s="1400"/>
      <c r="J1730" s="1400"/>
      <c r="K1730" s="1400"/>
      <c r="L1730" s="1400"/>
      <c r="M1730" s="1400"/>
      <c r="N1730" s="1672"/>
      <c r="O1730" s="75"/>
      <c r="P1730" s="1190"/>
      <c r="Q1730" s="56"/>
      <c r="R1730" s="56"/>
      <c r="S1730" s="56"/>
    </row>
    <row r="1731" spans="1:19" ht="15">
      <c r="A1731" s="166" t="s">
        <v>245</v>
      </c>
      <c r="B1731" s="119" t="s">
        <v>3596</v>
      </c>
      <c r="C1731" s="93"/>
      <c r="D1731" s="61"/>
      <c r="E1731" s="54"/>
      <c r="F1731" s="56"/>
      <c r="G1731" s="56"/>
      <c r="H1731" s="56"/>
      <c r="I1731" s="56"/>
      <c r="J1731" s="56"/>
      <c r="K1731" s="56"/>
      <c r="L1731" s="56"/>
      <c r="M1731" s="1190">
        <v>3</v>
      </c>
      <c r="N1731" s="484"/>
      <c r="O1731" s="484"/>
      <c r="P1731" s="1190"/>
      <c r="Q1731" s="1190" t="s">
        <v>456</v>
      </c>
      <c r="R1731" s="56"/>
      <c r="S1731" s="56"/>
    </row>
    <row r="1732" spans="1:19" ht="15">
      <c r="A1732" s="166"/>
      <c r="B1732" s="1220" t="s">
        <v>2786</v>
      </c>
      <c r="C1732" s="93"/>
      <c r="D1732" s="61"/>
      <c r="E1732" s="54"/>
      <c r="F1732" s="56"/>
      <c r="G1732" s="56"/>
      <c r="H1732" s="56"/>
      <c r="I1732" s="1406">
        <f>'Part I-Project Information'!$H$86</f>
        <v>0</v>
      </c>
      <c r="J1732" s="56"/>
      <c r="K1732" s="56"/>
      <c r="L1732" s="56"/>
      <c r="M1732" s="1190"/>
      <c r="N1732" s="1190"/>
      <c r="O1732" s="600" t="s">
        <v>2597</v>
      </c>
      <c r="P1732" s="600" t="s">
        <v>2597</v>
      </c>
      <c r="Q1732" s="1190"/>
      <c r="R1732" s="56"/>
      <c r="S1732" s="56"/>
    </row>
    <row r="1733" spans="1:19" ht="15">
      <c r="A1733" s="196"/>
      <c r="B1733" s="467" t="s">
        <v>3713</v>
      </c>
      <c r="C1733" s="56"/>
      <c r="D1733" s="533"/>
      <c r="E1733" s="56"/>
      <c r="F1733" s="56"/>
      <c r="G1733" s="56"/>
      <c r="H1733" s="56"/>
      <c r="I1733" s="56"/>
      <c r="J1733" s="56"/>
      <c r="K1733" s="56"/>
      <c r="L1733" s="56"/>
      <c r="M1733" s="56"/>
      <c r="N1733" s="69"/>
      <c r="O1733" s="1218">
        <f>'Part IX A-Scoring Criteria'!O216</f>
        <v>0</v>
      </c>
      <c r="P1733" s="1218">
        <f>'Part IX A-Scoring Criteria'!P216</f>
        <v>0</v>
      </c>
      <c r="Q1733" s="56"/>
      <c r="R1733" s="1663"/>
      <c r="S1733" s="56"/>
    </row>
    <row r="1734" spans="1:19" ht="15">
      <c r="A1734" s="196"/>
      <c r="B1734" s="467" t="s">
        <v>3714</v>
      </c>
      <c r="C1734" s="56"/>
      <c r="D1734" s="533"/>
      <c r="E1734" s="56"/>
      <c r="F1734" s="56"/>
      <c r="G1734" s="56"/>
      <c r="H1734" s="56"/>
      <c r="I1734" s="56"/>
      <c r="J1734" s="56"/>
      <c r="K1734" s="56"/>
      <c r="L1734" s="56"/>
      <c r="M1734" s="56"/>
      <c r="N1734" s="69"/>
      <c r="O1734" s="1218">
        <f>'Part IX A-Scoring Criteria'!O217</f>
        <v>0</v>
      </c>
      <c r="P1734" s="1218">
        <f>'Part IX A-Scoring Criteria'!P217</f>
        <v>0</v>
      </c>
      <c r="Q1734" s="56"/>
      <c r="R1734" s="1663"/>
      <c r="S1734" s="56"/>
    </row>
    <row r="1735" spans="1:19" ht="15">
      <c r="A1735" s="196"/>
      <c r="B1735" s="467" t="s">
        <v>3965</v>
      </c>
      <c r="C1735" s="56"/>
      <c r="D1735" s="533"/>
      <c r="E1735" s="56"/>
      <c r="F1735" s="56"/>
      <c r="G1735" s="56"/>
      <c r="H1735" s="56"/>
      <c r="I1735" s="56"/>
      <c r="J1735" s="56"/>
      <c r="K1735" s="56"/>
      <c r="L1735" s="56"/>
      <c r="M1735" s="56"/>
      <c r="N1735" s="69"/>
      <c r="O1735" s="1218">
        <f>'Part IX A-Scoring Criteria'!O218</f>
        <v>0</v>
      </c>
      <c r="P1735" s="1218">
        <f>'Part IX A-Scoring Criteria'!P218</f>
        <v>0</v>
      </c>
      <c r="Q1735" s="56"/>
      <c r="R1735" s="1663"/>
      <c r="S1735" s="56"/>
    </row>
    <row r="1736" spans="1:19" ht="15">
      <c r="A1736" s="56"/>
      <c r="B1736" s="147" t="s">
        <v>1937</v>
      </c>
      <c r="C1736" s="533"/>
      <c r="D1736" s="147"/>
      <c r="E1736" s="1400"/>
      <c r="F1736" s="1400"/>
      <c r="G1736" s="1400"/>
      <c r="H1736" s="1400"/>
      <c r="I1736" s="1400"/>
      <c r="J1736" s="1400"/>
      <c r="K1736" s="1400"/>
      <c r="L1736" s="1400"/>
      <c r="M1736" s="1400"/>
      <c r="N1736" s="1672"/>
      <c r="O1736" s="75"/>
      <c r="P1736" s="1190"/>
      <c r="Q1736" s="1669"/>
      <c r="R1736" s="56"/>
      <c r="S1736" s="56"/>
    </row>
    <row r="1737" spans="1:19" ht="15.75">
      <c r="A1737" s="1221">
        <f>'Part IX A-Scoring Criteria'!A220</f>
        <v>0</v>
      </c>
      <c r="B1737" s="1221"/>
      <c r="C1737" s="1221"/>
      <c r="D1737" s="1221"/>
      <c r="E1737" s="1221"/>
      <c r="F1737" s="1221"/>
      <c r="G1737" s="1221"/>
      <c r="H1737" s="1221"/>
      <c r="I1737" s="1221"/>
      <c r="J1737" s="1221"/>
      <c r="K1737" s="1221"/>
      <c r="L1737" s="1221"/>
      <c r="M1737" s="1221"/>
      <c r="N1737" s="1221"/>
      <c r="O1737" s="1221"/>
      <c r="P1737" s="1221"/>
      <c r="Q1737" s="1660" t="s">
        <v>1301</v>
      </c>
      <c r="R1737" s="56"/>
      <c r="S1737" s="56"/>
    </row>
    <row r="1738" spans="1:19">
      <c r="N1738" s="615"/>
      <c r="O1738" s="31"/>
      <c r="P1738" s="31"/>
    </row>
    <row r="1739" spans="1:19" ht="15">
      <c r="A1739" s="1655" t="s">
        <v>246</v>
      </c>
      <c r="B1739" s="112" t="s">
        <v>2956</v>
      </c>
      <c r="C1739" s="1724"/>
      <c r="D1739" s="1724"/>
      <c r="E1739" s="54" t="s">
        <v>3865</v>
      </c>
      <c r="F1739" s="1724"/>
      <c r="G1739" s="1176" t="str">
        <f>'Part I-Project Information'!$H$90</f>
        <v>N/A - 4% Bond</v>
      </c>
      <c r="H1739" s="1220" t="str">
        <f>IF(G1739="Flexible","(NOTE: Only Rural pool applicants are eligible for this section.)","")</f>
        <v/>
      </c>
      <c r="I1739" s="1724"/>
      <c r="J1739" s="1724"/>
      <c r="K1739" s="1183" t="s">
        <v>3866</v>
      </c>
      <c r="L1739" s="1220" t="str">
        <f>'Part I-Project Information'!$K$30</f>
        <v>Urban</v>
      </c>
      <c r="M1739" s="1190">
        <v>2</v>
      </c>
      <c r="N1739" s="1685"/>
      <c r="O1739" s="3">
        <f>'Part IX A-Scoring Criteria'!O222</f>
        <v>0</v>
      </c>
      <c r="P1739" s="3">
        <f>'Part IX A-Scoring Criteria'!P222</f>
        <v>0</v>
      </c>
      <c r="Q1739" s="1190" t="s">
        <v>456</v>
      </c>
      <c r="R1739" s="1681" t="s">
        <v>2811</v>
      </c>
      <c r="S1739" s="1724"/>
    </row>
    <row r="1740" spans="1:19" ht="15">
      <c r="A1740" s="1655"/>
      <c r="B1740" s="1724"/>
      <c r="C1740" s="1724"/>
      <c r="D1740" s="1724"/>
      <c r="E1740" s="1724"/>
      <c r="F1740" s="1724"/>
      <c r="G1740" s="1724"/>
      <c r="H1740" s="1724"/>
      <c r="I1740" s="1724"/>
      <c r="J1740" s="1724"/>
      <c r="K1740" s="1724"/>
      <c r="L1740" s="1724"/>
      <c r="M1740" s="1190"/>
      <c r="N1740" s="1685"/>
      <c r="O1740" s="1685"/>
      <c r="P1740" s="1685"/>
      <c r="Q1740" s="1724"/>
      <c r="R1740" s="1724"/>
      <c r="S1740" s="1724"/>
    </row>
    <row r="1741" spans="1:19" ht="15" customHeight="1">
      <c r="A1741" s="1221" t="s">
        <v>4241</v>
      </c>
      <c r="B1741" s="1221"/>
      <c r="C1741" s="1221"/>
      <c r="D1741" s="1221"/>
      <c r="E1741" s="1221"/>
      <c r="F1741" s="1221"/>
      <c r="G1741" s="1221"/>
      <c r="H1741" s="1221"/>
      <c r="I1741" s="1221"/>
      <c r="J1741" s="1221"/>
      <c r="K1741" s="1221"/>
      <c r="L1741" s="1221"/>
      <c r="M1741" s="1221"/>
      <c r="N1741" s="236"/>
      <c r="O1741" s="236"/>
      <c r="P1741" s="236"/>
      <c r="R1741" s="1663"/>
      <c r="S1741" s="1724"/>
    </row>
    <row r="1742" spans="1:19" ht="15" customHeight="1">
      <c r="A1742" s="1167" t="s">
        <v>3864</v>
      </c>
      <c r="B1742" s="1724"/>
      <c r="C1742" s="1725" t="str">
        <f>'Part II-Development Team'!$H$14</f>
        <v>TBG Properties, LLC</v>
      </c>
      <c r="D1742" s="1725"/>
      <c r="E1742" s="1724"/>
      <c r="F1742" s="1726">
        <f>'Part II-Development Team'!$L$139</f>
        <v>5.1E-5</v>
      </c>
      <c r="G1742" s="1725" t="str">
        <f>'Part II-Development Team'!$Q$14</f>
        <v>Eddy Benoit, Jr.</v>
      </c>
      <c r="H1742" s="1725"/>
      <c r="I1742" s="1727" t="s">
        <v>4242</v>
      </c>
      <c r="J1742" s="1728">
        <f>'Part VI-Revenues &amp; Expenses'!$O$62</f>
        <v>208</v>
      </c>
      <c r="K1742" s="1729" t="s">
        <v>4243</v>
      </c>
      <c r="L1742" s="1665"/>
      <c r="M1742" s="66"/>
      <c r="N1742" s="1685"/>
      <c r="O1742" s="1730" t="s">
        <v>4207</v>
      </c>
      <c r="P1742" s="1730"/>
      <c r="Q1742" s="1190"/>
      <c r="S1742" s="1724"/>
    </row>
    <row r="1743" spans="1:19" ht="15">
      <c r="A1743" s="1167" t="s">
        <v>3867</v>
      </c>
      <c r="B1743" s="1724"/>
      <c r="C1743" s="1725" t="str">
        <f>'Part II-Development Team'!$H$20</f>
        <v>Wheat Street Towers, LLC</v>
      </c>
      <c r="D1743" s="1725"/>
      <c r="E1743" s="1724"/>
      <c r="F1743" s="1726">
        <f>'Part II-Development Team'!$L$140</f>
        <v>4.8999999999999998E-5</v>
      </c>
      <c r="G1743" s="1725" t="str">
        <f>'Part II-Development Team'!$Q$20</f>
        <v>Eric Border</v>
      </c>
      <c r="H1743" s="1725"/>
      <c r="I1743" s="1727" t="s">
        <v>379</v>
      </c>
      <c r="J1743" s="1728">
        <f>'Part VI-Revenues &amp; Expenses'!$O$81+'Part VI-Revenues &amp; Expenses'!$O$82</f>
        <v>0</v>
      </c>
      <c r="K1743" s="1729"/>
      <c r="L1743" s="1665"/>
      <c r="M1743" s="1731">
        <f>'Part IX A-Scoring Criteria'!$M$226</f>
        <v>0</v>
      </c>
      <c r="N1743" s="1724"/>
      <c r="O1743" s="72" t="s">
        <v>1399</v>
      </c>
      <c r="P1743" s="1732">
        <f>IF('Part VI-Revenues &amp; Expenses'!$O$62=0,0,'Part VI-Revenues &amp; Expenses'!$O$74/'Part VI-Revenues &amp; Expenses'!$O$62)</f>
        <v>0</v>
      </c>
      <c r="Q1743" s="1190"/>
      <c r="S1743" s="1724"/>
    </row>
    <row r="1744" spans="1:19" ht="15">
      <c r="A1744" s="1167" t="s">
        <v>3967</v>
      </c>
      <c r="B1744" s="1724"/>
      <c r="C1744" s="1725">
        <f>'Part II-Development Team'!$H$26</f>
        <v>0</v>
      </c>
      <c r="D1744" s="1725"/>
      <c r="E1744" s="1724"/>
      <c r="F1744" s="1726">
        <f>'Part II-Development Team'!$L$141</f>
        <v>0</v>
      </c>
      <c r="G1744" s="1725">
        <f>'Part II-Development Team'!$Q$26</f>
        <v>0</v>
      </c>
      <c r="H1744" s="1725"/>
      <c r="I1744" s="1727" t="s">
        <v>2375</v>
      </c>
      <c r="J1744" s="1728">
        <f>'Part VI-Revenues &amp; Expenses'!$O$74</f>
        <v>0</v>
      </c>
      <c r="K1744" s="1729"/>
      <c r="L1744" s="1665"/>
      <c r="M1744" s="1665"/>
      <c r="N1744" s="1685"/>
      <c r="O1744" s="72" t="s">
        <v>873</v>
      </c>
      <c r="P1744" s="1732">
        <f>IF('Part VI-Revenues &amp; Expenses'!$O$62=0,0,('Part VI-Revenues &amp; Expenses'!$O$81 + 'Part VI-Revenues &amp; Expenses'!$O$82)/'Part VI-Revenues &amp; Expenses'!$O$62)</f>
        <v>0</v>
      </c>
      <c r="Q1744" s="1190"/>
      <c r="S1744" s="1724"/>
    </row>
    <row r="1745" spans="1:19" ht="15">
      <c r="A1745" s="1733" t="s">
        <v>3968</v>
      </c>
      <c r="B1745" s="1724"/>
      <c r="C1745" s="1725">
        <f>'Part II-Development Team'!$H$80</f>
        <v>0</v>
      </c>
      <c r="D1745" s="1725"/>
      <c r="E1745" s="1724"/>
      <c r="F1745" s="1726">
        <f>'Part II-Development Team'!$L$148</f>
        <v>0</v>
      </c>
      <c r="G1745" s="1725">
        <f>'Part II-Development Team'!$Q$80</f>
        <v>0</v>
      </c>
      <c r="H1745" s="1725"/>
      <c r="I1745" s="1167" t="s">
        <v>678</v>
      </c>
      <c r="J1745" s="1725" t="str">
        <f>'Part II-Development Team'!$H$54</f>
        <v>The Benoit Group Development, LLC</v>
      </c>
      <c r="K1745" s="1725"/>
      <c r="L1745" s="1726">
        <f>'Part II-Development Team'!$L$145</f>
        <v>0</v>
      </c>
      <c r="M1745" s="1725" t="str">
        <f>'Part II-Development Team'!$Q$54</f>
        <v>Eddy Benoit, Jr.</v>
      </c>
      <c r="N1745" s="1725"/>
      <c r="O1745" s="1724"/>
      <c r="P1745" s="1724"/>
      <c r="Q1745" s="1190"/>
      <c r="S1745" s="1724"/>
    </row>
    <row r="1746" spans="1:19" ht="15">
      <c r="A1746" s="1167" t="s">
        <v>3971</v>
      </c>
      <c r="B1746" s="1724"/>
      <c r="C1746" s="1725" t="str">
        <f>'Part II-Development Team'!$H$33</f>
        <v>NDC</v>
      </c>
      <c r="D1746" s="1725"/>
      <c r="E1746" s="1724"/>
      <c r="F1746" s="1726">
        <f>'Part II-Development Team'!$L$142</f>
        <v>0.9899</v>
      </c>
      <c r="G1746" s="1725" t="str">
        <f>'Part II-Development Team'!$Q$33</f>
        <v>President</v>
      </c>
      <c r="H1746" s="1725"/>
      <c r="I1746" s="1167" t="s">
        <v>3040</v>
      </c>
      <c r="J1746" s="1725" t="str">
        <f>'Part II-Development Team'!$H$60</f>
        <v>WSCF Development, LLC</v>
      </c>
      <c r="K1746" s="1725"/>
      <c r="L1746" s="1726">
        <f>'Part II-Development Team'!$L$146</f>
        <v>0</v>
      </c>
      <c r="M1746" s="1725" t="str">
        <f>'Part II-Development Team'!$Q$60</f>
        <v>Eric Borders</v>
      </c>
      <c r="N1746" s="1725"/>
      <c r="O1746" s="1685"/>
      <c r="P1746" s="1685"/>
      <c r="Q1746" s="1190"/>
      <c r="S1746" s="1724"/>
    </row>
    <row r="1747" spans="1:19" ht="15">
      <c r="A1747" s="1167" t="s">
        <v>3972</v>
      </c>
      <c r="B1747" s="1724"/>
      <c r="C1747" s="1725" t="str">
        <f>'Part II-Development Team'!$H$39</f>
        <v>Sugar Creek</v>
      </c>
      <c r="D1747" s="1725"/>
      <c r="E1747" s="1724"/>
      <c r="F1747" s="1726">
        <f>'Part II-Development Team'!$L$143</f>
        <v>0.01</v>
      </c>
      <c r="G1747" s="1725" t="str">
        <f>'Part II-Development Team'!$Q$39</f>
        <v>Chris Hite</v>
      </c>
      <c r="H1747" s="1725"/>
      <c r="I1747" s="1167" t="s">
        <v>3041</v>
      </c>
      <c r="J1747" s="1725">
        <f>'Part II-Development Team'!$H$66</f>
        <v>0</v>
      </c>
      <c r="K1747" s="1725"/>
      <c r="L1747" s="1726">
        <f>'Part II-Development Team'!$L$147</f>
        <v>0</v>
      </c>
      <c r="M1747" s="1725">
        <f>'Part II-Development Team'!$Q$66</f>
        <v>0</v>
      </c>
      <c r="N1747" s="1725"/>
      <c r="O1747" s="1685"/>
      <c r="P1747" s="1685"/>
      <c r="Q1747" s="1190"/>
      <c r="S1747" s="1724"/>
    </row>
    <row r="1748" spans="1:19" ht="15">
      <c r="A1748" s="1733" t="s">
        <v>3970</v>
      </c>
      <c r="B1748" s="1724"/>
      <c r="C1748" s="1725">
        <f>'Part II-Development Team'!$H$46</f>
        <v>0</v>
      </c>
      <c r="D1748" s="1725"/>
      <c r="E1748" s="1724"/>
      <c r="F1748" s="1726">
        <f>'Part II-Development Team'!$L$144</f>
        <v>0</v>
      </c>
      <c r="G1748" s="1725">
        <f>'Part II-Development Team'!$Q$46</f>
        <v>0</v>
      </c>
      <c r="H1748" s="1725"/>
      <c r="I1748" s="1167" t="s">
        <v>3969</v>
      </c>
      <c r="J1748" s="1725">
        <f>'Part II-Development Team'!$H$72</f>
        <v>0</v>
      </c>
      <c r="K1748" s="1725"/>
      <c r="L1748" s="1726">
        <f>'Part II-Development Team'!$L$149</f>
        <v>0</v>
      </c>
      <c r="M1748" s="1725">
        <f>'Part II-Development Team'!$Q$72</f>
        <v>0</v>
      </c>
      <c r="N1748" s="1725"/>
      <c r="O1748" s="1685"/>
      <c r="P1748" s="1685"/>
      <c r="Q1748" s="1190"/>
      <c r="S1748" s="1724"/>
    </row>
    <row r="1749" spans="1:19" ht="15">
      <c r="A1749" s="533"/>
      <c r="B1749" s="71" t="s">
        <v>267</v>
      </c>
      <c r="C1749" s="533"/>
      <c r="D1749" s="109"/>
      <c r="E1749" s="109"/>
      <c r="F1749" s="109"/>
      <c r="G1749" s="109"/>
      <c r="H1749" s="54"/>
      <c r="I1749" s="54"/>
      <c r="J1749" s="147" t="s">
        <v>1937</v>
      </c>
      <c r="K1749" s="56"/>
      <c r="L1749" s="56"/>
      <c r="M1749" s="484"/>
      <c r="N1749" s="615"/>
      <c r="O1749" s="3"/>
      <c r="P1749" s="31"/>
      <c r="Q1749" s="56"/>
      <c r="R1749" s="56"/>
      <c r="S1749" s="56"/>
    </row>
    <row r="1750" spans="1:19" ht="15.75">
      <c r="A1750" s="1221">
        <f>'Part IX A-Scoring Criteria'!A233</f>
        <v>0</v>
      </c>
      <c r="B1750" s="1221"/>
      <c r="C1750" s="1221"/>
      <c r="D1750" s="1221"/>
      <c r="E1750" s="1221"/>
      <c r="F1750" s="1221"/>
      <c r="G1750" s="1221"/>
      <c r="H1750" s="1221"/>
      <c r="I1750" s="1221"/>
      <c r="J1750" s="1221">
        <f>'Part IX A-Scoring Criteria'!J233</f>
        <v>0</v>
      </c>
      <c r="K1750" s="1221"/>
      <c r="L1750" s="1221"/>
      <c r="M1750" s="1221"/>
      <c r="N1750" s="1221"/>
      <c r="O1750" s="1221"/>
      <c r="P1750" s="1221"/>
      <c r="Q1750" s="1660" t="s">
        <v>1301</v>
      </c>
      <c r="R1750" s="56"/>
      <c r="S1750" s="56"/>
    </row>
    <row r="1751" spans="1:19" ht="15">
      <c r="A1751" s="533"/>
      <c r="B1751" s="56"/>
      <c r="C1751" s="1400"/>
      <c r="D1751" s="1400"/>
      <c r="E1751" s="1400"/>
      <c r="F1751" s="1400"/>
      <c r="G1751" s="1400"/>
      <c r="H1751" s="1400"/>
      <c r="I1751" s="1400"/>
      <c r="J1751" s="1400"/>
      <c r="K1751" s="1400"/>
      <c r="L1751" s="1400"/>
      <c r="M1751" s="1400"/>
      <c r="N1751" s="1672"/>
      <c r="O1751" s="75"/>
      <c r="P1751" s="1190"/>
      <c r="Q1751" s="56"/>
      <c r="R1751" s="56"/>
      <c r="S1751" s="56"/>
    </row>
    <row r="1752" spans="1:19" ht="15">
      <c r="A1752" s="1655" t="s">
        <v>1456</v>
      </c>
      <c r="B1752" s="119" t="s">
        <v>1732</v>
      </c>
      <c r="C1752" s="56"/>
      <c r="D1752" s="93"/>
      <c r="E1752" s="93"/>
      <c r="F1752" s="56"/>
      <c r="G1752" s="54"/>
      <c r="H1752" s="54"/>
      <c r="I1752" s="54"/>
      <c r="J1752" s="56"/>
      <c r="K1752" s="1407"/>
      <c r="L1752" s="1663"/>
      <c r="M1752" s="1190">
        <v>2</v>
      </c>
      <c r="N1752" s="1685"/>
      <c r="O1752" s="3">
        <f>'Part IX A-Scoring Criteria'!O235</f>
        <v>0</v>
      </c>
      <c r="P1752" s="3">
        <f>'Part IX A-Scoring Criteria'!P235</f>
        <v>0</v>
      </c>
      <c r="Q1752" s="1190" t="s">
        <v>456</v>
      </c>
      <c r="R1752" s="56"/>
      <c r="S1752" s="56"/>
    </row>
    <row r="1753" spans="1:19" ht="15">
      <c r="A1753" s="196" t="s">
        <v>2058</v>
      </c>
      <c r="B1753" s="199" t="s">
        <v>3975</v>
      </c>
      <c r="C1753" s="56"/>
      <c r="D1753" s="93"/>
      <c r="E1753" s="93"/>
      <c r="F1753" s="56"/>
      <c r="G1753" s="54"/>
      <c r="H1753" s="54"/>
      <c r="I1753" s="54"/>
      <c r="J1753" s="56"/>
      <c r="K1753" s="1407"/>
      <c r="L1753" s="1663" t="str">
        <f>IF(OR($O1753=$M1753,$O1753=0,$O1753=""),"","* * Check Score! * *")</f>
        <v/>
      </c>
      <c r="M1753" s="484">
        <v>1</v>
      </c>
      <c r="N1753" s="1685" t="str">
        <f>IF(OR($O1753=$M1753,$O1753=0,$O1753=""),"","***")</f>
        <v/>
      </c>
      <c r="O1753" s="3">
        <f>'Part IX A-Scoring Criteria'!O236</f>
        <v>0</v>
      </c>
      <c r="P1753" s="3">
        <f>'Part IX A-Scoring Criteria'!P236</f>
        <v>0</v>
      </c>
      <c r="Q1753" s="1190"/>
      <c r="R1753" s="1571" t="s">
        <v>2811</v>
      </c>
      <c r="S1753" s="56"/>
    </row>
    <row r="1754" spans="1:19" ht="15">
      <c r="A1754" s="56"/>
      <c r="B1754" s="1220" t="s">
        <v>3973</v>
      </c>
      <c r="C1754" s="56"/>
      <c r="D1754" s="98"/>
      <c r="E1754" s="93"/>
      <c r="F1754" s="54"/>
      <c r="G1754" s="54"/>
      <c r="H1754" s="54"/>
      <c r="I1754" s="1218"/>
      <c r="J1754" s="56"/>
      <c r="K1754" s="56"/>
      <c r="L1754" s="56"/>
      <c r="M1754" s="56"/>
      <c r="N1754" s="69" t="s">
        <v>2058</v>
      </c>
      <c r="O1754" s="600" t="s">
        <v>2597</v>
      </c>
      <c r="P1754" s="600" t="s">
        <v>2597</v>
      </c>
      <c r="Q1754" s="56"/>
      <c r="R1754" s="56"/>
      <c r="S1754" s="56"/>
    </row>
    <row r="1755" spans="1:19">
      <c r="A1755" s="467"/>
      <c r="B1755" s="1717" t="s">
        <v>2062</v>
      </c>
      <c r="C1755" s="54" t="s">
        <v>3974</v>
      </c>
      <c r="D1755" s="54"/>
      <c r="E1755" s="54"/>
      <c r="F1755" s="54"/>
      <c r="G1755" s="467"/>
      <c r="H1755" s="467"/>
      <c r="I1755" s="54" t="str">
        <f>'Part IX A-Scoring Criteria'!I238</f>
        <v>&lt; Select applicable GICH &gt;</v>
      </c>
      <c r="J1755" s="54"/>
      <c r="K1755" s="54"/>
      <c r="L1755" s="467"/>
      <c r="M1755" s="467"/>
      <c r="N1755" s="1717" t="s">
        <v>2062</v>
      </c>
      <c r="O1755" s="1218">
        <f>'Part IX A-Scoring Criteria'!O238</f>
        <v>0</v>
      </c>
      <c r="P1755" s="1218">
        <f>'Part IX A-Scoring Criteria'!P238</f>
        <v>0</v>
      </c>
      <c r="Q1755" s="467"/>
      <c r="R1755" s="467"/>
      <c r="S1755" s="467"/>
    </row>
    <row r="1756" spans="1:19">
      <c r="A1756" s="467"/>
      <c r="B1756" s="1717" t="s">
        <v>2064</v>
      </c>
      <c r="C1756" s="54" t="s">
        <v>3022</v>
      </c>
      <c r="D1756" s="54"/>
      <c r="E1756" s="54"/>
      <c r="F1756" s="54"/>
      <c r="G1756" s="54"/>
      <c r="H1756" s="467"/>
      <c r="I1756" s="467"/>
      <c r="J1756" s="467"/>
      <c r="K1756" s="467"/>
      <c r="L1756" s="467"/>
      <c r="M1756" s="54"/>
      <c r="N1756" s="1717" t="s">
        <v>2064</v>
      </c>
      <c r="O1756" s="1218">
        <f>'Part IX A-Scoring Criteria'!O239</f>
        <v>0</v>
      </c>
      <c r="P1756" s="1218">
        <f>'Part IX A-Scoring Criteria'!P239</f>
        <v>0</v>
      </c>
      <c r="Q1756" s="467"/>
      <c r="R1756" s="467"/>
      <c r="S1756" s="467"/>
    </row>
    <row r="1757" spans="1:19">
      <c r="A1757" s="196"/>
      <c r="B1757" s="1717" t="s">
        <v>2622</v>
      </c>
      <c r="C1757" s="54" t="s">
        <v>3976</v>
      </c>
      <c r="D1757" s="54"/>
      <c r="E1757" s="54"/>
      <c r="F1757" s="54"/>
      <c r="G1757" s="54"/>
      <c r="H1757" s="54"/>
      <c r="I1757" s="467"/>
      <c r="J1757" s="467"/>
      <c r="K1757" s="467"/>
      <c r="L1757" s="54"/>
      <c r="M1757" s="54"/>
      <c r="N1757" s="1717" t="s">
        <v>2622</v>
      </c>
      <c r="O1757" s="1218">
        <f>'Part IX A-Scoring Criteria'!O240</f>
        <v>0</v>
      </c>
      <c r="P1757" s="1218">
        <f>'Part IX A-Scoring Criteria'!P240</f>
        <v>0</v>
      </c>
      <c r="Q1757" s="467"/>
      <c r="R1757" s="467"/>
      <c r="S1757" s="467"/>
    </row>
    <row r="1758" spans="1:19">
      <c r="A1758" s="196"/>
      <c r="B1758" s="1717" t="s">
        <v>1270</v>
      </c>
      <c r="C1758" s="54" t="s">
        <v>3977</v>
      </c>
      <c r="D1758" s="54"/>
      <c r="E1758" s="54"/>
      <c r="F1758" s="54"/>
      <c r="G1758" s="54"/>
      <c r="H1758" s="54"/>
      <c r="I1758" s="54"/>
      <c r="J1758" s="54"/>
      <c r="K1758" s="54"/>
      <c r="L1758" s="54"/>
      <c r="M1758" s="54"/>
      <c r="N1758" s="1717" t="s">
        <v>1270</v>
      </c>
      <c r="O1758" s="1218">
        <f>'Part IX A-Scoring Criteria'!O241</f>
        <v>0</v>
      </c>
      <c r="P1758" s="1218">
        <f>'Part IX A-Scoring Criteria'!P241</f>
        <v>0</v>
      </c>
      <c r="Q1758" s="467"/>
      <c r="R1758" s="467"/>
      <c r="S1758" s="467"/>
    </row>
    <row r="1759" spans="1:19">
      <c r="A1759" s="467"/>
      <c r="B1759" s="1264" t="s">
        <v>3978</v>
      </c>
      <c r="C1759" s="467"/>
      <c r="D1759" s="54"/>
      <c r="E1759" s="54"/>
      <c r="F1759" s="54"/>
      <c r="G1759" s="54"/>
      <c r="H1759" s="54"/>
      <c r="I1759" s="54"/>
      <c r="J1759" s="54"/>
      <c r="K1759" s="54"/>
      <c r="L1759" s="54"/>
      <c r="M1759" s="54"/>
      <c r="N1759" s="69"/>
      <c r="O1759" s="69"/>
      <c r="P1759" s="69"/>
      <c r="Q1759" s="467"/>
      <c r="R1759" s="467"/>
      <c r="S1759" s="467"/>
    </row>
    <row r="1760" spans="1:19" ht="13.5">
      <c r="A1760" s="196" t="s">
        <v>2061</v>
      </c>
      <c r="B1760" s="1159" t="s">
        <v>2916</v>
      </c>
      <c r="D1760" s="533"/>
      <c r="G1760" s="1734" t="s">
        <v>3762</v>
      </c>
      <c r="H1760" s="1734"/>
      <c r="I1760" s="1734"/>
      <c r="J1760" s="1734"/>
      <c r="K1760" s="1734"/>
      <c r="L1760" s="1663" t="str">
        <f>IF(OR($O1760=$M1760,$O1760=0,$O1760=""),"","* * Check Score! * *")</f>
        <v/>
      </c>
      <c r="M1760" s="615">
        <v>1</v>
      </c>
      <c r="N1760" s="1685" t="str">
        <f>IF(OR($O1760=$M1760,$O1760=0,$O1760=""),"","***")</f>
        <v/>
      </c>
      <c r="O1760" s="3">
        <f>'Part IX A-Scoring Criteria'!O243</f>
        <v>0</v>
      </c>
      <c r="P1760" s="3">
        <f>'Part IX A-Scoring Criteria'!P243</f>
        <v>0</v>
      </c>
      <c r="Q1760" s="1190"/>
      <c r="R1760" s="1571" t="s">
        <v>2811</v>
      </c>
    </row>
    <row r="1761" spans="1:19" ht="13.5">
      <c r="B1761" s="467" t="s">
        <v>2918</v>
      </c>
      <c r="N1761" s="69" t="s">
        <v>2061</v>
      </c>
      <c r="O1761" s="1218">
        <f>'Part IX A-Scoring Criteria'!O244</f>
        <v>0</v>
      </c>
      <c r="P1761" s="1218">
        <f>'Part IX A-Scoring Criteria'!P244</f>
        <v>0</v>
      </c>
      <c r="Q1761" s="1571"/>
    </row>
    <row r="1762" spans="1:19">
      <c r="A1762" s="67"/>
      <c r="C1762" s="54" t="s">
        <v>3980</v>
      </c>
      <c r="D1762" s="54" t="str">
        <f>'Part I-Project Information'!$F$28</f>
        <v>Atlanta</v>
      </c>
      <c r="F1762" s="54" t="s">
        <v>3756</v>
      </c>
      <c r="G1762" s="54" t="str">
        <f>'Part I-Project Information'!$J$29</f>
        <v>Fulton</v>
      </c>
      <c r="H1762" s="1641" t="s">
        <v>468</v>
      </c>
      <c r="I1762" s="1183" t="str">
        <f>'Part I-Project Information'!$N$29</f>
        <v>Yes</v>
      </c>
      <c r="K1762" s="1183" t="s">
        <v>3979</v>
      </c>
      <c r="L1762" s="1711" t="str">
        <f>'Part I-Project Information'!$O$28</f>
        <v>0028.00</v>
      </c>
      <c r="M1762" s="1711"/>
      <c r="N1762" s="1711"/>
      <c r="O1762" s="1711"/>
      <c r="P1762" s="1711"/>
    </row>
    <row r="1763" spans="1:19" ht="15">
      <c r="A1763" s="533"/>
      <c r="B1763" s="71" t="s">
        <v>267</v>
      </c>
      <c r="C1763" s="533"/>
      <c r="D1763" s="109"/>
      <c r="E1763" s="109"/>
      <c r="F1763" s="109"/>
      <c r="G1763" s="109"/>
      <c r="H1763" s="54"/>
      <c r="I1763" s="54"/>
      <c r="J1763" s="147" t="s">
        <v>1937</v>
      </c>
      <c r="K1763" s="56"/>
      <c r="L1763" s="56"/>
      <c r="M1763" s="484"/>
      <c r="N1763" s="615"/>
      <c r="O1763" s="3"/>
      <c r="P1763" s="31"/>
      <c r="Q1763" s="56"/>
      <c r="R1763" s="56"/>
      <c r="S1763" s="56"/>
    </row>
    <row r="1764" spans="1:19" ht="15.75">
      <c r="A1764" s="1221">
        <f>'Part IX A-Scoring Criteria'!A247</f>
        <v>0</v>
      </c>
      <c r="B1764" s="1221"/>
      <c r="C1764" s="1221"/>
      <c r="D1764" s="1221"/>
      <c r="E1764" s="1221"/>
      <c r="F1764" s="1221"/>
      <c r="G1764" s="1221"/>
      <c r="H1764" s="1221"/>
      <c r="I1764" s="1221"/>
      <c r="J1764" s="1221">
        <f>'Part IX A-Scoring Criteria'!J247</f>
        <v>0</v>
      </c>
      <c r="K1764" s="1221"/>
      <c r="L1764" s="1221"/>
      <c r="M1764" s="1221"/>
      <c r="N1764" s="1221"/>
      <c r="O1764" s="1221"/>
      <c r="P1764" s="1221"/>
      <c r="Q1764" s="1660" t="s">
        <v>1301</v>
      </c>
      <c r="R1764" s="56"/>
      <c r="S1764" s="56"/>
    </row>
    <row r="1765" spans="1:19">
      <c r="N1765" s="615"/>
      <c r="O1765" s="31"/>
      <c r="P1765" s="31"/>
    </row>
    <row r="1766" spans="1:19" ht="15">
      <c r="A1766" s="1655" t="s">
        <v>1731</v>
      </c>
      <c r="B1766" s="119" t="s">
        <v>2958</v>
      </c>
      <c r="C1766" s="56"/>
      <c r="D1766" s="93"/>
      <c r="E1766" s="93"/>
      <c r="F1766" s="54"/>
      <c r="G1766" s="54"/>
      <c r="H1766" s="54"/>
      <c r="I1766" s="1159" t="s">
        <v>2913</v>
      </c>
      <c r="J1766" s="1535"/>
      <c r="K1766" s="1724"/>
      <c r="L1766" s="1159" t="str">
        <f>'Part I-Project Information'!$H$90</f>
        <v>N/A - 4% Bond</v>
      </c>
      <c r="M1766" s="3">
        <v>8</v>
      </c>
      <c r="N1766" s="484"/>
      <c r="O1766" s="3">
        <f ca="1">'Part IX A-Scoring Criteria'!O249</f>
        <v>0</v>
      </c>
      <c r="P1766" s="3">
        <f ca="1">'Part IX A-Scoring Criteria'!P249</f>
        <v>0</v>
      </c>
      <c r="Q1766" s="1190" t="s">
        <v>456</v>
      </c>
      <c r="R1766" s="56"/>
      <c r="S1766" s="56"/>
    </row>
    <row r="1767" spans="1:19" ht="15">
      <c r="A1767" s="533"/>
      <c r="B1767" s="199" t="s">
        <v>3025</v>
      </c>
      <c r="C1767" s="56"/>
      <c r="D1767" s="56"/>
      <c r="E1767" s="93"/>
      <c r="F1767" s="54"/>
      <c r="G1767" s="54"/>
      <c r="H1767" s="54"/>
      <c r="I1767" s="54"/>
      <c r="J1767" s="56"/>
      <c r="K1767" s="1407"/>
      <c r="L1767" s="59"/>
      <c r="M1767" s="56"/>
      <c r="N1767" s="56"/>
      <c r="O1767" s="600" t="s">
        <v>2597</v>
      </c>
      <c r="P1767" s="600" t="s">
        <v>2597</v>
      </c>
      <c r="Q1767" s="56"/>
      <c r="R1767" s="56"/>
      <c r="S1767" s="56"/>
    </row>
    <row r="1768" spans="1:19" ht="15">
      <c r="A1768" s="467"/>
      <c r="B1768" s="1717" t="s">
        <v>2062</v>
      </c>
      <c r="C1768" s="467" t="s">
        <v>2957</v>
      </c>
      <c r="D1768" s="467"/>
      <c r="E1768" s="93"/>
      <c r="F1768" s="54"/>
      <c r="G1768" s="54"/>
      <c r="H1768" s="54"/>
      <c r="I1768" s="54"/>
      <c r="J1768" s="56"/>
      <c r="K1768" s="1407"/>
      <c r="L1768" s="1650" t="str">
        <f>IF(OR(O1768="No",O1769="No",O1770="No",O1771="No",O1773="No"),"Unmet criterion results in no points!","")</f>
        <v/>
      </c>
      <c r="M1768" s="467"/>
      <c r="N1768" s="1673" t="s">
        <v>2062</v>
      </c>
      <c r="O1768" s="1218">
        <f>'Part IX A-Scoring Criteria'!O251</f>
        <v>0</v>
      </c>
      <c r="P1768" s="1218">
        <f>'Part IX A-Scoring Criteria'!P251</f>
        <v>0</v>
      </c>
      <c r="Q1768" s="467"/>
      <c r="R1768" s="467"/>
      <c r="S1768" s="467"/>
    </row>
    <row r="1769" spans="1:19">
      <c r="A1769" s="467"/>
      <c r="B1769" s="1717" t="s">
        <v>2064</v>
      </c>
      <c r="C1769" s="467" t="s">
        <v>588</v>
      </c>
      <c r="D1769" s="467"/>
      <c r="E1769" s="467"/>
      <c r="F1769" s="467"/>
      <c r="G1769" s="467"/>
      <c r="H1769" s="467"/>
      <c r="I1769" s="467"/>
      <c r="J1769" s="467"/>
      <c r="K1769" s="467"/>
      <c r="L1769" s="1650"/>
      <c r="M1769" s="467"/>
      <c r="N1769" s="1673" t="s">
        <v>2064</v>
      </c>
      <c r="O1769" s="1218">
        <f>'Part IX A-Scoring Criteria'!O252</f>
        <v>0</v>
      </c>
      <c r="P1769" s="1218">
        <f>'Part IX A-Scoring Criteria'!P252</f>
        <v>0</v>
      </c>
      <c r="Q1769" s="467"/>
      <c r="R1769" s="467"/>
      <c r="S1769" s="467"/>
    </row>
    <row r="1770" spans="1:19">
      <c r="A1770" s="467"/>
      <c r="B1770" s="1717" t="s">
        <v>2622</v>
      </c>
      <c r="C1770" s="467" t="s">
        <v>589</v>
      </c>
      <c r="D1770" s="467"/>
      <c r="E1770" s="467"/>
      <c r="F1770" s="467"/>
      <c r="G1770" s="467"/>
      <c r="H1770" s="467"/>
      <c r="I1770" s="467"/>
      <c r="J1770" s="467"/>
      <c r="K1770" s="467"/>
      <c r="L1770" s="1650" t="str">
        <f>IF(OR(P1768="No",P1769="No",P1770="No",P1771="No",P1773="No"),"Unmet criterion results in no points!","")</f>
        <v/>
      </c>
      <c r="M1770" s="467"/>
      <c r="N1770" s="1673" t="s">
        <v>2622</v>
      </c>
      <c r="O1770" s="1218">
        <f>'Part IX A-Scoring Criteria'!O253</f>
        <v>0</v>
      </c>
      <c r="P1770" s="1218">
        <f>'Part IX A-Scoring Criteria'!P253</f>
        <v>0</v>
      </c>
      <c r="Q1770" s="467"/>
      <c r="R1770" s="467"/>
      <c r="S1770" s="467"/>
    </row>
    <row r="1771" spans="1:19">
      <c r="A1771" s="467"/>
      <c r="B1771" s="1717" t="s">
        <v>1270</v>
      </c>
      <c r="C1771" s="467" t="s">
        <v>3983</v>
      </c>
      <c r="D1771" s="467"/>
      <c r="E1771" s="467"/>
      <c r="F1771" s="467"/>
      <c r="G1771" s="467"/>
      <c r="H1771" s="467"/>
      <c r="I1771" s="467"/>
      <c r="J1771" s="467"/>
      <c r="K1771" s="467"/>
      <c r="L1771" s="1650"/>
      <c r="M1771" s="467"/>
      <c r="N1771" s="1673" t="s">
        <v>1270</v>
      </c>
      <c r="O1771" s="1218">
        <f>'Part IX A-Scoring Criteria'!O254</f>
        <v>0</v>
      </c>
      <c r="P1771" s="1218">
        <f>'Part IX A-Scoring Criteria'!P254</f>
        <v>0</v>
      </c>
      <c r="Q1771" s="467"/>
      <c r="R1771" s="467"/>
      <c r="S1771" s="467"/>
    </row>
    <row r="1772" spans="1:19">
      <c r="A1772" s="467"/>
      <c r="B1772" s="69" t="s">
        <v>2520</v>
      </c>
      <c r="C1772" s="467" t="s">
        <v>3985</v>
      </c>
      <c r="D1772" s="467"/>
      <c r="E1772" s="467"/>
      <c r="F1772" s="467"/>
      <c r="G1772" s="467"/>
      <c r="H1772" s="467"/>
      <c r="I1772" s="467"/>
      <c r="J1772" s="467"/>
      <c r="K1772" s="467"/>
      <c r="L1772" s="467"/>
      <c r="M1772" s="467"/>
      <c r="N1772" s="1673" t="s">
        <v>2520</v>
      </c>
      <c r="O1772" s="1218">
        <f>'Part IX A-Scoring Criteria'!O255</f>
        <v>0</v>
      </c>
      <c r="P1772" s="1218">
        <f>'Part IX A-Scoring Criteria'!P255</f>
        <v>0</v>
      </c>
      <c r="Q1772" s="467"/>
      <c r="R1772" s="467"/>
      <c r="S1772" s="467"/>
    </row>
    <row r="1773" spans="1:19" ht="12.75" customHeight="1">
      <c r="A1773" s="236" t="s">
        <v>3530</v>
      </c>
      <c r="B1773" s="236" t="s">
        <v>2521</v>
      </c>
      <c r="C1773" s="1221" t="s">
        <v>3984</v>
      </c>
      <c r="D1773" s="1221"/>
      <c r="E1773" s="1221"/>
      <c r="F1773" s="1221"/>
      <c r="G1773" s="1221"/>
      <c r="H1773" s="1221"/>
      <c r="I1773" s="1221"/>
      <c r="J1773" s="1221"/>
      <c r="K1773" s="1221"/>
      <c r="L1773" s="1221"/>
      <c r="M1773" s="1221"/>
      <c r="N1773" s="1666" t="s">
        <v>2521</v>
      </c>
      <c r="O1773" s="1218">
        <f>'Part IX A-Scoring Criteria'!O256</f>
        <v>0</v>
      </c>
      <c r="P1773" s="1218">
        <f>'Part IX A-Scoring Criteria'!P256</f>
        <v>0</v>
      </c>
      <c r="Q1773" s="150"/>
      <c r="R1773" s="150"/>
      <c r="S1773" s="150"/>
    </row>
    <row r="1774" spans="1:19" ht="15">
      <c r="A1774" s="196" t="s">
        <v>2058</v>
      </c>
      <c r="B1774" s="1264" t="s">
        <v>1914</v>
      </c>
      <c r="C1774" s="56"/>
      <c r="D1774" s="1220"/>
      <c r="E1774" s="1220"/>
      <c r="F1774" s="533"/>
      <c r="G1774" s="98"/>
      <c r="H1774" s="98"/>
      <c r="I1774" s="98"/>
      <c r="J1774" s="1220"/>
      <c r="K1774" s="98"/>
      <c r="L1774" s="533"/>
      <c r="M1774" s="484">
        <v>4</v>
      </c>
      <c r="N1774" s="69" t="s">
        <v>2058</v>
      </c>
      <c r="O1774" s="3">
        <f ca="1">'Part IX A-Scoring Criteria'!O257</f>
        <v>0</v>
      </c>
      <c r="P1774" s="3">
        <f ca="1">'Part IX A-Scoring Criteria'!P257</f>
        <v>0</v>
      </c>
      <c r="Q1774" s="56"/>
      <c r="R1774" s="56"/>
      <c r="S1774" s="56"/>
    </row>
    <row r="1775" spans="1:19">
      <c r="B1775" s="1699" t="s">
        <v>2062</v>
      </c>
      <c r="C1775" s="1643" t="s">
        <v>3986</v>
      </c>
      <c r="I1775" s="1735" t="s">
        <v>2066</v>
      </c>
      <c r="J1775" s="1735"/>
      <c r="L1775" s="1735" t="s">
        <v>2066</v>
      </c>
      <c r="M1775" s="1735"/>
      <c r="N1775" s="1673"/>
      <c r="O1775" s="31"/>
      <c r="P1775" s="31"/>
    </row>
    <row r="1776" spans="1:19" ht="15">
      <c r="A1776" s="1683"/>
      <c r="B1776" s="69" t="s">
        <v>2520</v>
      </c>
      <c r="C1776" s="54" t="s">
        <v>1539</v>
      </c>
      <c r="D1776" s="56"/>
      <c r="E1776" s="56"/>
      <c r="F1776" s="56"/>
      <c r="G1776" s="56"/>
      <c r="H1776" s="69" t="s">
        <v>2520</v>
      </c>
      <c r="I1776" s="1736">
        <f>'Part IX A-Scoring Criteria'!I259</f>
        <v>0</v>
      </c>
      <c r="J1776" s="1736"/>
      <c r="K1776" s="69" t="s">
        <v>2520</v>
      </c>
      <c r="L1776" s="1736">
        <f>'Part IX A-Scoring Criteria'!L259</f>
        <v>0</v>
      </c>
      <c r="M1776" s="1736"/>
      <c r="N1776" s="1673"/>
      <c r="O1776" s="31"/>
      <c r="P1776" s="31"/>
      <c r="Q1776" s="56"/>
      <c r="R1776" s="1663"/>
      <c r="S1776" s="56"/>
    </row>
    <row r="1777" spans="1:19">
      <c r="A1777" s="1596"/>
      <c r="B1777" s="236" t="s">
        <v>2521</v>
      </c>
      <c r="C1777" s="54" t="s">
        <v>3989</v>
      </c>
      <c r="H1777" s="236" t="s">
        <v>2521</v>
      </c>
      <c r="I1777" s="1736">
        <f>'Part IX A-Scoring Criteria'!I260</f>
        <v>0</v>
      </c>
      <c r="J1777" s="1736"/>
      <c r="K1777" s="236" t="s">
        <v>2521</v>
      </c>
      <c r="L1777" s="1736">
        <f>'Part IX A-Scoring Criteria'!L260</f>
        <v>0</v>
      </c>
      <c r="M1777" s="1736"/>
      <c r="N1777" s="1673"/>
      <c r="O1777" s="31"/>
      <c r="P1777" s="31"/>
      <c r="R1777" s="1663"/>
    </row>
    <row r="1778" spans="1:19">
      <c r="B1778" s="69" t="s">
        <v>2522</v>
      </c>
      <c r="C1778" s="54" t="s">
        <v>2716</v>
      </c>
      <c r="H1778" s="69" t="s">
        <v>2522</v>
      </c>
      <c r="I1778" s="1736">
        <f>'Part IX A-Scoring Criteria'!I261</f>
        <v>0</v>
      </c>
      <c r="J1778" s="1736"/>
      <c r="K1778" s="69" t="s">
        <v>2522</v>
      </c>
      <c r="L1778" s="1736">
        <f>'Part IX A-Scoring Criteria'!L261</f>
        <v>0</v>
      </c>
      <c r="M1778" s="1736"/>
      <c r="N1778" s="1673"/>
      <c r="O1778" s="31"/>
      <c r="P1778" s="31"/>
      <c r="R1778" s="1663"/>
    </row>
    <row r="1779" spans="1:19">
      <c r="A1779" s="1596"/>
      <c r="B1779" s="69" t="s">
        <v>2523</v>
      </c>
      <c r="C1779" s="54" t="s">
        <v>3715</v>
      </c>
      <c r="H1779" s="69" t="s">
        <v>2523</v>
      </c>
      <c r="I1779" s="1736">
        <f>'Part IX A-Scoring Criteria'!I262</f>
        <v>0</v>
      </c>
      <c r="J1779" s="1736"/>
      <c r="K1779" s="69" t="s">
        <v>2523</v>
      </c>
      <c r="L1779" s="1736">
        <f>'Part IX A-Scoring Criteria'!L262</f>
        <v>0</v>
      </c>
      <c r="M1779" s="1736"/>
      <c r="N1779" s="1673"/>
      <c r="O1779" s="31"/>
      <c r="P1779" s="31"/>
      <c r="R1779" s="1663"/>
    </row>
    <row r="1780" spans="1:19" ht="15">
      <c r="A1780" s="1683"/>
      <c r="B1780" s="236" t="s">
        <v>2524</v>
      </c>
      <c r="C1780" s="54" t="s">
        <v>2843</v>
      </c>
      <c r="D1780" s="56"/>
      <c r="E1780" s="56"/>
      <c r="F1780" s="56"/>
      <c r="G1780" s="56"/>
      <c r="H1780" s="236" t="s">
        <v>2524</v>
      </c>
      <c r="I1780" s="1736">
        <f>'Part IX A-Scoring Criteria'!I263</f>
        <v>0</v>
      </c>
      <c r="J1780" s="1736"/>
      <c r="K1780" s="236" t="s">
        <v>2524</v>
      </c>
      <c r="L1780" s="1736">
        <f>'Part IX A-Scoring Criteria'!L263</f>
        <v>0</v>
      </c>
      <c r="M1780" s="1736"/>
      <c r="N1780" s="1673"/>
      <c r="O1780" s="31"/>
      <c r="P1780" s="31"/>
      <c r="Q1780" s="56"/>
      <c r="R1780" s="1663"/>
      <c r="S1780" s="56"/>
    </row>
    <row r="1781" spans="1:19">
      <c r="B1781" s="69" t="s">
        <v>2540</v>
      </c>
      <c r="C1781" s="54" t="s">
        <v>1538</v>
      </c>
      <c r="H1781" s="69" t="s">
        <v>2540</v>
      </c>
      <c r="I1781" s="1736">
        <f>'Part IX A-Scoring Criteria'!I264</f>
        <v>0</v>
      </c>
      <c r="J1781" s="1736"/>
      <c r="K1781" s="69" t="s">
        <v>2540</v>
      </c>
      <c r="L1781" s="1736">
        <f>'Part IX A-Scoring Criteria'!L264</f>
        <v>0</v>
      </c>
      <c r="M1781" s="1736"/>
      <c r="N1781" s="1673"/>
      <c r="O1781" s="31"/>
      <c r="P1781" s="31"/>
      <c r="R1781" s="1663"/>
    </row>
    <row r="1782" spans="1:19">
      <c r="A1782" s="1596"/>
      <c r="B1782" s="69" t="s">
        <v>2541</v>
      </c>
      <c r="C1782" s="54" t="s">
        <v>3987</v>
      </c>
      <c r="H1782" s="69" t="s">
        <v>2541</v>
      </c>
      <c r="I1782" s="1736">
        <f>'Part IX A-Scoring Criteria'!I265</f>
        <v>0</v>
      </c>
      <c r="J1782" s="1736"/>
      <c r="K1782" s="69" t="s">
        <v>2541</v>
      </c>
      <c r="L1782" s="1736">
        <f>'Part IX A-Scoring Criteria'!L265</f>
        <v>0</v>
      </c>
      <c r="M1782" s="1736"/>
      <c r="N1782" s="1673"/>
      <c r="O1782" s="31"/>
      <c r="P1782" s="31"/>
      <c r="R1782" s="1663"/>
    </row>
    <row r="1783" spans="1:19">
      <c r="B1783" s="69" t="s">
        <v>2542</v>
      </c>
      <c r="C1783" s="54" t="s">
        <v>3988</v>
      </c>
      <c r="H1783" s="69" t="s">
        <v>2542</v>
      </c>
      <c r="I1783" s="1736">
        <f>'Part IX A-Scoring Criteria'!I266</f>
        <v>0</v>
      </c>
      <c r="J1783" s="1736"/>
      <c r="K1783" s="69" t="s">
        <v>2542</v>
      </c>
      <c r="L1783" s="1736">
        <f>'Part IX A-Scoring Criteria'!L266</f>
        <v>0</v>
      </c>
      <c r="M1783" s="1736"/>
      <c r="N1783" s="1673"/>
      <c r="O1783" s="31"/>
      <c r="P1783" s="31"/>
      <c r="R1783" s="1663"/>
    </row>
    <row r="1784" spans="1:19">
      <c r="B1784" s="69" t="s">
        <v>2543</v>
      </c>
      <c r="C1784" s="54" t="s">
        <v>3990</v>
      </c>
      <c r="H1784" s="69" t="s">
        <v>2543</v>
      </c>
      <c r="I1784" s="1736">
        <f>'Part IX A-Scoring Criteria'!I267</f>
        <v>0</v>
      </c>
      <c r="J1784" s="1736"/>
      <c r="K1784" s="69" t="s">
        <v>2543</v>
      </c>
      <c r="L1784" s="1736">
        <f>'Part IX A-Scoring Criteria'!L267</f>
        <v>0</v>
      </c>
      <c r="M1784" s="1736"/>
      <c r="N1784" s="1673"/>
      <c r="O1784" s="31"/>
      <c r="P1784" s="31"/>
      <c r="R1784" s="1663"/>
    </row>
    <row r="1785" spans="1:19">
      <c r="A1785" s="1596"/>
      <c r="B1785" s="69" t="s">
        <v>3991</v>
      </c>
      <c r="C1785" s="54" t="s">
        <v>3992</v>
      </c>
      <c r="H1785" s="69" t="s">
        <v>3991</v>
      </c>
      <c r="I1785" s="1736">
        <f>'Part IX A-Scoring Criteria'!I268</f>
        <v>0</v>
      </c>
      <c r="J1785" s="1736"/>
      <c r="K1785" s="69" t="s">
        <v>3991</v>
      </c>
      <c r="L1785" s="1736">
        <f>'Part IX A-Scoring Criteria'!L268</f>
        <v>0</v>
      </c>
      <c r="M1785" s="1736"/>
      <c r="N1785" s="1737" t="s">
        <v>3993</v>
      </c>
      <c r="O1785" s="31"/>
      <c r="P1785" s="31"/>
      <c r="R1785" s="1663"/>
    </row>
    <row r="1786" spans="1:19">
      <c r="A1786" s="1596"/>
      <c r="B1786" s="1717"/>
      <c r="C1786" s="1220" t="s">
        <v>2718</v>
      </c>
      <c r="H1786" s="467"/>
      <c r="I1786" s="1736">
        <f>SUM(I1776:J1785)</f>
        <v>0</v>
      </c>
      <c r="J1786" s="1736"/>
      <c r="L1786" s="1736">
        <f>SUM($L1776:$L1785)</f>
        <v>0</v>
      </c>
      <c r="M1786" s="1736"/>
      <c r="N1786" s="1673"/>
      <c r="O1786" s="31"/>
      <c r="P1786" s="31"/>
      <c r="R1786" s="1663"/>
    </row>
    <row r="1787" spans="1:19" ht="15">
      <c r="A1787" s="533"/>
      <c r="B1787" s="1738"/>
      <c r="C1787" s="56"/>
      <c r="D1787" s="54"/>
      <c r="E1787" s="54"/>
      <c r="F1787" s="1190"/>
      <c r="G1787" s="1510" t="str">
        <f>IF(OR(I1785=0,I1785="",$I$267=0),"",IF(I1785/$I$267&lt;10%,"Check amount of conventional loan in (j) - must be at least 10% of TDC!",""))</f>
        <v/>
      </c>
      <c r="H1787" s="1510"/>
      <c r="I1787" s="1510"/>
      <c r="J1787" s="1510"/>
      <c r="K1787" s="1510"/>
      <c r="L1787" s="1510" t="str">
        <f>IF(OR(L1785=0,L1785="",$I$267=0),"",IF(L1785/$I$267&lt;10%,"Check amount of conventional loan in (j) - must be at least 10% of TDC!",""))</f>
        <v/>
      </c>
      <c r="M1787" s="1510"/>
      <c r="N1787" s="1510"/>
      <c r="O1787" s="1510"/>
      <c r="P1787" s="1510"/>
      <c r="Q1787" s="56"/>
      <c r="R1787" s="56"/>
      <c r="S1787" s="56"/>
    </row>
    <row r="1788" spans="1:19">
      <c r="B1788" s="1699" t="s">
        <v>2064</v>
      </c>
      <c r="C1788" s="1643" t="s">
        <v>2717</v>
      </c>
      <c r="D1788" s="1220" t="s">
        <v>2719</v>
      </c>
      <c r="I1788" s="1736">
        <f ca="1">'Part IV-Uses of Funds'!$G$131</f>
        <v>25231313.324578471</v>
      </c>
      <c r="J1788" s="1736"/>
      <c r="L1788" s="1510"/>
      <c r="M1788" s="1510"/>
      <c r="N1788" s="1510"/>
      <c r="O1788" s="1510"/>
      <c r="P1788" s="1510"/>
    </row>
    <row r="1789" spans="1:19">
      <c r="B1789" s="1673"/>
      <c r="C1789" s="1739"/>
      <c r="D1789" s="1183" t="s">
        <v>2720</v>
      </c>
      <c r="G1789" s="1169"/>
      <c r="H1789" s="1169"/>
      <c r="I1789" s="1740">
        <f ca="1">IF($I1788=0,0,$I1786/$I1788)</f>
        <v>0</v>
      </c>
      <c r="J1789" s="1740"/>
      <c r="L1789" s="1740">
        <f ca="1">IF($I1788=0,0,$L1786/$I1788)</f>
        <v>0</v>
      </c>
      <c r="M1789" s="1740"/>
    </row>
    <row r="1790" spans="1:19" ht="15">
      <c r="A1790" s="196" t="s">
        <v>2061</v>
      </c>
      <c r="B1790" s="1264" t="s">
        <v>3994</v>
      </c>
      <c r="C1790" s="56"/>
      <c r="D1790" s="54"/>
      <c r="E1790" s="54"/>
      <c r="F1790" s="1190"/>
      <c r="G1790" s="56"/>
      <c r="H1790" s="54"/>
      <c r="I1790" s="1190"/>
      <c r="J1790" s="1220"/>
      <c r="K1790" s="1220"/>
      <c r="L1790" s="1220"/>
      <c r="M1790" s="484">
        <v>2</v>
      </c>
      <c r="N1790" s="69" t="s">
        <v>2061</v>
      </c>
      <c r="O1790" s="3">
        <f>'Part IX A-Scoring Criteria'!O273</f>
        <v>0</v>
      </c>
      <c r="P1790" s="3">
        <f>'Part IX A-Scoring Criteria'!P273</f>
        <v>0</v>
      </c>
      <c r="Q1790" s="1571" t="s">
        <v>2811</v>
      </c>
      <c r="R1790" s="56"/>
      <c r="S1790" s="56"/>
    </row>
    <row r="1791" spans="1:19" ht="15">
      <c r="A1791" s="196"/>
      <c r="B1791" s="54" t="s">
        <v>3995</v>
      </c>
      <c r="C1791" s="54"/>
      <c r="D1791" s="54"/>
      <c r="E1791" s="54"/>
      <c r="F1791" s="54"/>
      <c r="G1791" s="54"/>
      <c r="H1791" s="54"/>
      <c r="I1791" s="54"/>
      <c r="J1791" s="54"/>
      <c r="K1791" s="54"/>
      <c r="L1791" s="54"/>
      <c r="M1791" s="54"/>
      <c r="N1791" s="54"/>
      <c r="O1791" s="1218">
        <f>'Part IX A-Scoring Criteria'!O274</f>
        <v>0</v>
      </c>
      <c r="P1791" s="1218">
        <f>'Part IX A-Scoring Criteria'!P274</f>
        <v>0</v>
      </c>
      <c r="Q1791" s="56"/>
      <c r="R1791" s="56"/>
      <c r="S1791" s="56"/>
    </row>
    <row r="1792" spans="1:19" ht="15">
      <c r="A1792" s="196" t="s">
        <v>779</v>
      </c>
      <c r="B1792" s="1264" t="s">
        <v>667</v>
      </c>
      <c r="C1792" s="56"/>
      <c r="D1792" s="54"/>
      <c r="E1792" s="54"/>
      <c r="F1792" s="1190"/>
      <c r="G1792" s="1190"/>
      <c r="H1792" s="1190"/>
      <c r="I1792" s="1190"/>
      <c r="J1792" s="1220"/>
      <c r="K1792" s="1220"/>
      <c r="L1792" s="1220"/>
      <c r="M1792" s="484">
        <v>2</v>
      </c>
      <c r="N1792" s="69" t="s">
        <v>779</v>
      </c>
      <c r="O1792" s="3">
        <f>'Part IX A-Scoring Criteria'!O275</f>
        <v>0</v>
      </c>
      <c r="P1792" s="3">
        <f>'Part IX A-Scoring Criteria'!P275</f>
        <v>0</v>
      </c>
      <c r="Q1792" s="56"/>
      <c r="R1792" s="1663" t="str">
        <f>IF(OR($O1792=$M1792,$O1792=0,$O1792=""),"","* * Check Score! * *")</f>
        <v/>
      </c>
      <c r="S1792" s="56"/>
    </row>
    <row r="1793" spans="1:19" ht="15">
      <c r="A1793" s="1683"/>
      <c r="B1793" s="54" t="s">
        <v>2973</v>
      </c>
      <c r="C1793" s="56"/>
      <c r="D1793" s="56"/>
      <c r="E1793" s="56"/>
      <c r="F1793" s="56"/>
      <c r="G1793" s="56"/>
      <c r="H1793" s="56"/>
      <c r="I1793" s="144">
        <f>'Part IX A-Scoring Criteria'!I276</f>
        <v>0</v>
      </c>
      <c r="J1793" s="144"/>
      <c r="K1793" s="144"/>
      <c r="L1793" s="144"/>
      <c r="M1793" s="144"/>
      <c r="N1793" s="144"/>
      <c r="O1793" s="56"/>
      <c r="P1793" s="56"/>
      <c r="Q1793" s="56"/>
      <c r="R1793" s="56"/>
      <c r="S1793" s="56"/>
    </row>
    <row r="1794" spans="1:19" ht="15">
      <c r="A1794" s="1683"/>
      <c r="B1794" s="1183" t="s">
        <v>3997</v>
      </c>
      <c r="C1794" s="56"/>
      <c r="D1794" s="56"/>
      <c r="E1794" s="56"/>
      <c r="F1794" s="56"/>
      <c r="G1794" s="56"/>
      <c r="H1794" s="56"/>
      <c r="I1794" s="61" t="str">
        <f>'Part IX A-Scoring Criteria'!I277</f>
        <v>&lt;Select unrelated 3rd party type&gt;</v>
      </c>
      <c r="J1794" s="61"/>
      <c r="K1794" s="61"/>
      <c r="L1794" s="56"/>
      <c r="M1794" s="56"/>
      <c r="N1794" s="56"/>
      <c r="O1794" s="56"/>
      <c r="P1794" s="56"/>
      <c r="Q1794" s="56"/>
      <c r="R1794" s="56"/>
      <c r="S1794" s="56"/>
    </row>
    <row r="1795" spans="1:19">
      <c r="A1795" s="1596"/>
      <c r="B1795" s="1183" t="s">
        <v>4090</v>
      </c>
      <c r="F1795" s="532"/>
      <c r="G1795" s="532"/>
      <c r="H1795" s="532"/>
      <c r="I1795" s="199">
        <f>'Part IX A-Scoring Criteria'!I278</f>
        <v>0</v>
      </c>
      <c r="K1795" s="532"/>
      <c r="L1795" s="532"/>
      <c r="M1795" s="532"/>
      <c r="N1795" s="532"/>
      <c r="O1795" s="532"/>
      <c r="P1795" s="532"/>
    </row>
    <row r="1796" spans="1:19">
      <c r="A1796" s="1596"/>
      <c r="B1796" s="150" t="s">
        <v>3996</v>
      </c>
      <c r="G1796" s="150"/>
      <c r="I1796" s="1741">
        <f>'Part IX A-Scoring Criteria'!I279</f>
        <v>0</v>
      </c>
      <c r="J1796" s="1742"/>
      <c r="K1796" s="532"/>
      <c r="L1796" s="532"/>
      <c r="M1796" s="532"/>
      <c r="N1796" s="532"/>
      <c r="O1796" s="532"/>
      <c r="P1796" s="532"/>
    </row>
    <row r="1797" spans="1:19" ht="12.75" customHeight="1">
      <c r="A1797" s="1596"/>
      <c r="B1797" s="1221" t="s">
        <v>2438</v>
      </c>
      <c r="C1797" s="1221"/>
      <c r="D1797" s="1459">
        <f>'Part IX A-Scoring Criteria'!D280</f>
        <v>0</v>
      </c>
      <c r="E1797" s="1459"/>
      <c r="F1797" s="1459"/>
      <c r="G1797" s="1459"/>
      <c r="H1797" s="1459"/>
      <c r="I1797" s="1459"/>
      <c r="J1797" s="1459"/>
      <c r="K1797" s="1459"/>
      <c r="L1797" s="1459"/>
      <c r="M1797" s="1459"/>
      <c r="N1797" s="1459"/>
      <c r="O1797" s="1459"/>
      <c r="P1797" s="1459"/>
    </row>
    <row r="1798" spans="1:19">
      <c r="B1798" s="54" t="s">
        <v>3702</v>
      </c>
      <c r="E1798" s="600"/>
      <c r="I1798" s="1743">
        <f>'Part IX A-Scoring Criteria'!I281</f>
        <v>0</v>
      </c>
      <c r="J1798" s="1743"/>
      <c r="L1798" s="1736">
        <f>'Part IX A-Scoring Criteria'!L281</f>
        <v>0</v>
      </c>
      <c r="M1798" s="1736"/>
      <c r="P1798" s="31"/>
    </row>
    <row r="1799" spans="1:19" ht="15">
      <c r="A1799" s="533"/>
      <c r="B1799" s="56"/>
      <c r="C1799" s="54" t="s">
        <v>4173</v>
      </c>
      <c r="D1799" s="1400"/>
      <c r="E1799" s="1400"/>
      <c r="F1799" s="1400"/>
      <c r="G1799" s="1400"/>
      <c r="H1799" s="1400"/>
      <c r="I1799" s="1740">
        <f>IF($I1798=0,0,$I1798/$I1788)</f>
        <v>0</v>
      </c>
      <c r="J1799" s="1740"/>
      <c r="K1799" s="1400"/>
      <c r="L1799" s="1740">
        <f>IF($L1798=0,0,$L1798/$I1788)</f>
        <v>0</v>
      </c>
      <c r="M1799" s="1740"/>
      <c r="N1799" s="1672"/>
      <c r="O1799" s="75"/>
      <c r="P1799" s="1190"/>
      <c r="Q1799" s="56"/>
      <c r="R1799" s="56"/>
      <c r="S1799" s="56"/>
    </row>
    <row r="1800" spans="1:19" ht="15">
      <c r="A1800" s="533"/>
      <c r="B1800" s="71" t="s">
        <v>267</v>
      </c>
      <c r="C1800" s="533"/>
      <c r="D1800" s="109"/>
      <c r="E1800" s="109"/>
      <c r="F1800" s="109"/>
      <c r="G1800" s="109"/>
      <c r="H1800" s="54"/>
      <c r="I1800" s="54"/>
      <c r="J1800" s="54"/>
      <c r="K1800" s="54"/>
      <c r="L1800" s="56"/>
      <c r="M1800" s="484"/>
      <c r="N1800" s="615"/>
      <c r="O1800" s="3"/>
      <c r="P1800" s="31"/>
      <c r="Q1800" s="56"/>
      <c r="R1800" s="56"/>
      <c r="S1800" s="56"/>
    </row>
    <row r="1801" spans="1:19" ht="15.75">
      <c r="A1801" s="1221">
        <f>'Part IX A-Scoring Criteria'!A284</f>
        <v>0</v>
      </c>
      <c r="B1801" s="1221"/>
      <c r="C1801" s="1221"/>
      <c r="D1801" s="1221"/>
      <c r="E1801" s="1221"/>
      <c r="F1801" s="1221"/>
      <c r="G1801" s="1221"/>
      <c r="H1801" s="1221"/>
      <c r="I1801" s="1221"/>
      <c r="J1801" s="1221"/>
      <c r="K1801" s="1221"/>
      <c r="L1801" s="1221"/>
      <c r="M1801" s="1221"/>
      <c r="N1801" s="1221"/>
      <c r="O1801" s="1221"/>
      <c r="P1801" s="1221"/>
      <c r="Q1801" s="1660" t="s">
        <v>1301</v>
      </c>
      <c r="R1801" s="56"/>
      <c r="S1801" s="56"/>
    </row>
    <row r="1802" spans="1:19" ht="15">
      <c r="A1802" s="533"/>
      <c r="B1802" s="71" t="s">
        <v>1937</v>
      </c>
      <c r="C1802" s="533"/>
      <c r="D1802" s="147"/>
      <c r="E1802" s="1400"/>
      <c r="F1802" s="1400"/>
      <c r="G1802" s="1400"/>
      <c r="H1802" s="1400"/>
      <c r="I1802" s="1400"/>
      <c r="J1802" s="1400"/>
      <c r="K1802" s="1400"/>
      <c r="L1802" s="1400"/>
      <c r="M1802" s="1400"/>
      <c r="N1802" s="1672"/>
      <c r="O1802" s="75"/>
      <c r="P1802" s="1190"/>
      <c r="Q1802" s="1669"/>
      <c r="R1802" s="98"/>
      <c r="S1802" s="98"/>
    </row>
    <row r="1803" spans="1:19" ht="15.75">
      <c r="A1803" s="1221">
        <f>'Part IX A-Scoring Criteria'!A286</f>
        <v>0</v>
      </c>
      <c r="B1803" s="1221"/>
      <c r="C1803" s="1221"/>
      <c r="D1803" s="1221"/>
      <c r="E1803" s="1221"/>
      <c r="F1803" s="1221"/>
      <c r="G1803" s="1221"/>
      <c r="H1803" s="1221"/>
      <c r="I1803" s="1221"/>
      <c r="J1803" s="1221"/>
      <c r="K1803" s="1221"/>
      <c r="L1803" s="1221"/>
      <c r="M1803" s="1221"/>
      <c r="N1803" s="1221"/>
      <c r="O1803" s="1221"/>
      <c r="P1803" s="1221"/>
      <c r="Q1803" s="1660" t="s">
        <v>1301</v>
      </c>
      <c r="R1803" s="56"/>
      <c r="S1803" s="56"/>
    </row>
    <row r="1804" spans="1:19">
      <c r="N1804" s="615"/>
      <c r="O1804" s="31"/>
      <c r="P1804" s="31"/>
    </row>
    <row r="1805" spans="1:19" ht="15">
      <c r="A1805" s="1655" t="s">
        <v>1733</v>
      </c>
      <c r="B1805" s="112" t="s">
        <v>3605</v>
      </c>
      <c r="C1805" s="69"/>
      <c r="D1805" s="56"/>
      <c r="E1805" s="124"/>
      <c r="F1805" s="56"/>
      <c r="G1805" s="1159" t="s">
        <v>2913</v>
      </c>
      <c r="H1805" s="56"/>
      <c r="I1805" s="1219" t="str">
        <f>'Part I-Project Information'!$H$90</f>
        <v>N/A - 4% Bond</v>
      </c>
      <c r="J1805" s="109"/>
      <c r="K1805" s="109"/>
      <c r="L1805" s="1663" t="str">
        <f>IF(OR($O1805=$M1805,$O1805=0,$O1805=""),"","* * Check Score! * *")</f>
        <v/>
      </c>
      <c r="M1805" s="1190">
        <v>3</v>
      </c>
      <c r="N1805" s="98"/>
      <c r="O1805" s="484"/>
      <c r="P1805" s="3">
        <f>'Part IX A-Scoring Criteria'!P288</f>
        <v>0</v>
      </c>
      <c r="Q1805" s="1190" t="s">
        <v>456</v>
      </c>
      <c r="R1805" s="1663"/>
      <c r="S1805" s="56"/>
    </row>
    <row r="1806" spans="1:19" ht="15">
      <c r="A1806" s="196" t="s">
        <v>2058</v>
      </c>
      <c r="B1806" s="1159" t="s">
        <v>2844</v>
      </c>
      <c r="C1806" s="56"/>
      <c r="D1806" s="533"/>
      <c r="E1806" s="56"/>
      <c r="F1806" s="56"/>
      <c r="G1806" s="467" t="s">
        <v>2433</v>
      </c>
      <c r="H1806" s="56"/>
      <c r="I1806" s="56"/>
      <c r="J1806" s="56"/>
      <c r="K1806" s="56"/>
      <c r="L1806" s="56"/>
      <c r="M1806" s="484">
        <v>3</v>
      </c>
      <c r="N1806" s="69" t="s">
        <v>2058</v>
      </c>
      <c r="O1806" s="1218">
        <f>'Part IX A-Scoring Criteria'!O289</f>
        <v>0</v>
      </c>
      <c r="P1806" s="1218">
        <f>'Part IX A-Scoring Criteria'!P289</f>
        <v>0</v>
      </c>
      <c r="Q1806" s="56"/>
      <c r="R1806" s="1663"/>
      <c r="S1806" s="56"/>
    </row>
    <row r="1807" spans="1:19" ht="15" customHeight="1">
      <c r="A1807" s="196" t="s">
        <v>2061</v>
      </c>
      <c r="B1807" s="1159" t="s">
        <v>3606</v>
      </c>
      <c r="C1807" s="56"/>
      <c r="D1807" s="533"/>
      <c r="E1807" s="56"/>
      <c r="F1807" s="69"/>
      <c r="G1807" s="467" t="s">
        <v>4118</v>
      </c>
      <c r="H1807" s="56"/>
      <c r="I1807" s="234" t="str">
        <f>'Part IX A-Scoring Criteria'!I290</f>
        <v>&lt;&lt; Choose category in which to compete &gt;&gt;</v>
      </c>
      <c r="J1807" s="234"/>
      <c r="K1807" s="234"/>
      <c r="L1807" s="234"/>
      <c r="M1807" s="56"/>
      <c r="N1807" s="56"/>
      <c r="O1807" s="684" t="s">
        <v>4010</v>
      </c>
      <c r="P1807" s="684"/>
      <c r="Q1807" s="56"/>
      <c r="R1807" s="1663"/>
      <c r="S1807" s="56"/>
    </row>
    <row r="1808" spans="1:19" ht="15">
      <c r="A1808" s="1667" t="s">
        <v>779</v>
      </c>
      <c r="B1808" s="1567" t="s">
        <v>3998</v>
      </c>
      <c r="C1808" s="1669"/>
      <c r="D1808" s="1530"/>
      <c r="E1808" s="1530"/>
      <c r="F1808" s="533"/>
      <c r="G1808" s="56"/>
      <c r="H1808" s="56"/>
      <c r="I1808" s="56"/>
      <c r="J1808" s="56"/>
      <c r="K1808" s="56"/>
      <c r="L1808" s="1744" t="s">
        <v>4005</v>
      </c>
      <c r="M1808" s="56"/>
      <c r="N1808" s="56"/>
      <c r="O1808" s="684"/>
      <c r="P1808" s="684"/>
      <c r="Q1808" s="56"/>
      <c r="R1808" s="1663"/>
      <c r="S1808" s="56"/>
    </row>
    <row r="1809" spans="1:19" ht="15">
      <c r="A1809" s="196"/>
      <c r="B1809" s="1699" t="s">
        <v>2062</v>
      </c>
      <c r="C1809" s="54" t="s">
        <v>3999</v>
      </c>
      <c r="D1809" s="533"/>
      <c r="E1809" s="98"/>
      <c r="F1809" s="533"/>
      <c r="G1809" s="98"/>
      <c r="H1809" s="54"/>
      <c r="I1809" s="98"/>
      <c r="J1809" s="98"/>
      <c r="K1809" s="98"/>
      <c r="L1809" s="1717" t="s">
        <v>4006</v>
      </c>
      <c r="M1809" s="98"/>
      <c r="N1809" s="69" t="s">
        <v>779</v>
      </c>
      <c r="O1809" s="1673" t="s">
        <v>2062</v>
      </c>
      <c r="P1809" s="1218">
        <f>'Part IX A-Scoring Criteria'!P292</f>
        <v>0</v>
      </c>
      <c r="Q1809" s="98"/>
      <c r="R1809" s="1663"/>
      <c r="S1809" s="98"/>
    </row>
    <row r="1810" spans="1:19" ht="15">
      <c r="A1810" s="196"/>
      <c r="B1810" s="1699" t="s">
        <v>2064</v>
      </c>
      <c r="C1810" s="54" t="s">
        <v>4000</v>
      </c>
      <c r="D1810" s="533"/>
      <c r="E1810" s="98"/>
      <c r="F1810" s="533"/>
      <c r="G1810" s="98"/>
      <c r="H1810" s="54"/>
      <c r="I1810" s="98"/>
      <c r="J1810" s="98"/>
      <c r="K1810" s="98"/>
      <c r="L1810" s="1717" t="s">
        <v>4006</v>
      </c>
      <c r="M1810" s="98"/>
      <c r="N1810" s="98"/>
      <c r="O1810" s="1673" t="s">
        <v>2064</v>
      </c>
      <c r="P1810" s="1218">
        <f>'Part IX A-Scoring Criteria'!P293</f>
        <v>0</v>
      </c>
      <c r="Q1810" s="98"/>
      <c r="R1810" s="1663"/>
      <c r="S1810" s="98"/>
    </row>
    <row r="1811" spans="1:19" ht="15">
      <c r="A1811" s="196"/>
      <c r="B1811" s="1699" t="s">
        <v>2622</v>
      </c>
      <c r="C1811" s="54" t="s">
        <v>4001</v>
      </c>
      <c r="D1811" s="533"/>
      <c r="E1811" s="98"/>
      <c r="F1811" s="533"/>
      <c r="G1811" s="98"/>
      <c r="H1811" s="54"/>
      <c r="I1811" s="98"/>
      <c r="J1811" s="98"/>
      <c r="K1811" s="98"/>
      <c r="L1811" s="1717" t="s">
        <v>4007</v>
      </c>
      <c r="M1811" s="98"/>
      <c r="N1811" s="98"/>
      <c r="O1811" s="1673" t="s">
        <v>2622</v>
      </c>
      <c r="P1811" s="1218">
        <f>'Part IX A-Scoring Criteria'!P294</f>
        <v>0</v>
      </c>
      <c r="Q1811" s="98"/>
      <c r="R1811" s="1663"/>
      <c r="S1811" s="98"/>
    </row>
    <row r="1812" spans="1:19" ht="15">
      <c r="A1812" s="196"/>
      <c r="B1812" s="1699" t="s">
        <v>1270</v>
      </c>
      <c r="C1812" s="54" t="s">
        <v>4002</v>
      </c>
      <c r="D1812" s="533"/>
      <c r="E1812" s="98"/>
      <c r="F1812" s="533"/>
      <c r="G1812" s="98"/>
      <c r="H1812" s="54"/>
      <c r="I1812" s="98"/>
      <c r="J1812" s="98"/>
      <c r="K1812" s="98"/>
      <c r="L1812" s="1717" t="s">
        <v>4007</v>
      </c>
      <c r="M1812" s="98"/>
      <c r="N1812" s="98"/>
      <c r="O1812" s="1673" t="s">
        <v>1270</v>
      </c>
      <c r="P1812" s="1218">
        <f>'Part IX A-Scoring Criteria'!P295</f>
        <v>0</v>
      </c>
      <c r="Q1812" s="98"/>
      <c r="R1812" s="1663"/>
      <c r="S1812" s="98"/>
    </row>
    <row r="1813" spans="1:19" ht="15">
      <c r="A1813" s="196"/>
      <c r="B1813" s="1699" t="s">
        <v>1271</v>
      </c>
      <c r="C1813" s="54" t="s">
        <v>4003</v>
      </c>
      <c r="D1813" s="533"/>
      <c r="E1813" s="98"/>
      <c r="F1813" s="533"/>
      <c r="G1813" s="98"/>
      <c r="H1813" s="54"/>
      <c r="I1813" s="98"/>
      <c r="J1813" s="98"/>
      <c r="K1813" s="98"/>
      <c r="L1813" s="1717" t="s">
        <v>4007</v>
      </c>
      <c r="M1813" s="98"/>
      <c r="N1813" s="98"/>
      <c r="O1813" s="1673" t="s">
        <v>1271</v>
      </c>
      <c r="P1813" s="1218">
        <f>'Part IX A-Scoring Criteria'!P296</f>
        <v>0</v>
      </c>
      <c r="Q1813" s="98"/>
      <c r="R1813" s="1663"/>
      <c r="S1813" s="98"/>
    </row>
    <row r="1814" spans="1:19" ht="15">
      <c r="A1814" s="781"/>
      <c r="B1814" s="1712" t="s">
        <v>1955</v>
      </c>
      <c r="C1814" s="150" t="s">
        <v>4004</v>
      </c>
      <c r="D1814" s="150"/>
      <c r="E1814" s="150"/>
      <c r="F1814" s="150"/>
      <c r="G1814" s="150"/>
      <c r="H1814" s="150"/>
      <c r="I1814" s="150"/>
      <c r="J1814" s="150"/>
      <c r="K1814" s="150"/>
      <c r="L1814" s="1717" t="s">
        <v>4007</v>
      </c>
      <c r="M1814" s="1162"/>
      <c r="N1814" s="1162"/>
      <c r="O1814" s="1666" t="s">
        <v>1955</v>
      </c>
      <c r="P1814" s="1218">
        <f>'Part IX A-Scoring Criteria'!P297</f>
        <v>0</v>
      </c>
      <c r="Q1814" s="1162"/>
      <c r="R1814" s="1679"/>
      <c r="S1814" s="1162"/>
    </row>
    <row r="1815" spans="1:19" ht="15">
      <c r="A1815" s="56"/>
      <c r="B1815" s="71" t="s">
        <v>1937</v>
      </c>
      <c r="C1815" s="467"/>
      <c r="D1815" s="533"/>
      <c r="E1815" s="56"/>
      <c r="F1815" s="533"/>
      <c r="G1815" s="56"/>
      <c r="H1815" s="467"/>
      <c r="I1815" s="56"/>
      <c r="J1815" s="56"/>
      <c r="K1815" s="56"/>
      <c r="L1815" s="1717" t="s">
        <v>4008</v>
      </c>
      <c r="M1815" s="56"/>
      <c r="N1815" s="56"/>
      <c r="O1815" s="1745" t="s">
        <v>3607</v>
      </c>
      <c r="P1815" s="1219">
        <f>SUM(P1809:P1814)</f>
        <v>0</v>
      </c>
      <c r="Q1815" s="56"/>
      <c r="R1815" s="1663"/>
      <c r="S1815" s="56"/>
    </row>
    <row r="1816" spans="1:19" ht="15.75">
      <c r="A1816" s="1221">
        <f>'Part IX A-Scoring Criteria'!A299</f>
        <v>0</v>
      </c>
      <c r="B1816" s="1221"/>
      <c r="C1816" s="1221"/>
      <c r="D1816" s="1221"/>
      <c r="E1816" s="1221"/>
      <c r="F1816" s="1221"/>
      <c r="G1816" s="1221"/>
      <c r="H1816" s="1221"/>
      <c r="I1816" s="1221"/>
      <c r="J1816" s="1221"/>
      <c r="K1816" s="1221"/>
      <c r="L1816" s="1221"/>
      <c r="M1816" s="1221"/>
      <c r="N1816" s="1221"/>
      <c r="O1816" s="1221"/>
      <c r="P1816" s="1221"/>
      <c r="Q1816" s="1660" t="s">
        <v>1301</v>
      </c>
      <c r="R1816" s="56"/>
      <c r="S1816" s="56"/>
    </row>
    <row r="1817" spans="1:19" ht="15">
      <c r="A1817" s="533"/>
      <c r="B1817" s="533"/>
      <c r="C1817" s="1400"/>
      <c r="D1817" s="1400"/>
      <c r="E1817" s="1400"/>
      <c r="F1817" s="1400"/>
      <c r="G1817" s="1400"/>
      <c r="H1817" s="1400"/>
      <c r="I1817" s="1400"/>
      <c r="J1817" s="1400"/>
      <c r="K1817" s="1400"/>
      <c r="L1817" s="1400"/>
      <c r="M1817" s="1400"/>
      <c r="N1817" s="1672"/>
      <c r="O1817" s="75"/>
      <c r="P1817" s="1190"/>
      <c r="Q1817" s="56"/>
      <c r="R1817" s="56"/>
      <c r="S1817" s="56"/>
    </row>
    <row r="1818" spans="1:19" ht="15">
      <c r="A1818" s="166" t="s">
        <v>1734</v>
      </c>
      <c r="B1818" s="119" t="s">
        <v>2826</v>
      </c>
      <c r="C1818" s="93"/>
      <c r="D1818" s="61"/>
      <c r="E1818" s="54"/>
      <c r="F1818" s="56"/>
      <c r="G1818" s="56"/>
      <c r="H1818" s="56"/>
      <c r="I1818" s="56"/>
      <c r="J1818" s="1720"/>
      <c r="K1818" s="56"/>
      <c r="L1818" s="56"/>
      <c r="M1818" s="1190">
        <v>3</v>
      </c>
      <c r="N1818" s="484"/>
      <c r="O1818" s="3">
        <f>'Part IX A-Scoring Criteria'!O301</f>
        <v>0</v>
      </c>
      <c r="P1818" s="3">
        <f>'Part IX A-Scoring Criteria'!P301</f>
        <v>0</v>
      </c>
      <c r="Q1818" s="1190" t="s">
        <v>456</v>
      </c>
      <c r="R1818" s="56"/>
      <c r="S1818" s="56"/>
    </row>
    <row r="1819" spans="1:19" ht="15">
      <c r="A1819" s="196" t="s">
        <v>2058</v>
      </c>
      <c r="B1819" s="1159" t="s">
        <v>4074</v>
      </c>
      <c r="C1819" s="56"/>
      <c r="D1819" s="533"/>
      <c r="E1819" s="533"/>
      <c r="F1819" s="533"/>
      <c r="G1819" s="56"/>
      <c r="H1819" s="1134" t="s">
        <v>4214</v>
      </c>
      <c r="I1819" s="1746">
        <f>IF('Part VI-Revenues &amp; Expenses'!$O$62=0,0,L1820/'Part VI-Revenues &amp; Expenses'!$O$62)</f>
        <v>0</v>
      </c>
      <c r="J1819" s="56"/>
      <c r="K1819" s="69" t="s">
        <v>4073</v>
      </c>
      <c r="L1819" s="1746">
        <f>IF('Part VI-Revenues &amp; Expenses'!$O$58=0,0,'Part VI-Revenues &amp; Expenses'!$K$58/'Part VI-Revenues &amp; Expenses'!$O$58)</f>
        <v>0.98557692307692313</v>
      </c>
      <c r="M1819" s="484">
        <v>2</v>
      </c>
      <c r="N1819" s="69" t="s">
        <v>2058</v>
      </c>
      <c r="O1819" s="3">
        <f>'Part IX A-Scoring Criteria'!O302</f>
        <v>0</v>
      </c>
      <c r="P1819" s="3">
        <f>'Part IX A-Scoring Criteria'!P302</f>
        <v>0</v>
      </c>
      <c r="Q1819" s="1571"/>
      <c r="R1819" s="1190"/>
      <c r="S1819" s="56"/>
    </row>
    <row r="1820" spans="1:19" ht="15" customHeight="1">
      <c r="A1820" s="781"/>
      <c r="B1820" s="1712" t="s">
        <v>2062</v>
      </c>
      <c r="C1820" s="1221" t="s">
        <v>4210</v>
      </c>
      <c r="D1820" s="1221"/>
      <c r="E1820" s="1221"/>
      <c r="F1820" s="1221"/>
      <c r="G1820" s="1221"/>
      <c r="H1820" s="1221"/>
      <c r="I1820" s="1375" t="s">
        <v>4211</v>
      </c>
      <c r="J1820" s="1747">
        <f>'Part IX A-Scoring Criteria'!J303</f>
        <v>0</v>
      </c>
      <c r="K1820" s="1375" t="s">
        <v>4209</v>
      </c>
      <c r="L1820" s="1747">
        <f>'Part IX A-Scoring Criteria'!L303</f>
        <v>0</v>
      </c>
      <c r="M1820" s="1221" t="str">
        <f>'Part IX A-Scoring Criteria'!M303</f>
        <v/>
      </c>
      <c r="N1820" s="1666" t="s">
        <v>2062</v>
      </c>
      <c r="O1820" s="1218">
        <f>'Part IX A-Scoring Criteria'!O303</f>
        <v>0</v>
      </c>
      <c r="P1820" s="1218">
        <f>'Part IX A-Scoring Criteria'!P303</f>
        <v>0</v>
      </c>
      <c r="Q1820" s="1748"/>
      <c r="R1820" s="1679"/>
      <c r="S1820" s="1162"/>
    </row>
    <row r="1821" spans="1:19" ht="12.75" customHeight="1">
      <c r="A1821" s="93"/>
      <c r="B1821" s="1712" t="s">
        <v>2064</v>
      </c>
      <c r="C1821" s="1221" t="s">
        <v>3608</v>
      </c>
      <c r="D1821" s="1221"/>
      <c r="E1821" s="1221"/>
      <c r="F1821" s="1221"/>
      <c r="G1821" s="1221"/>
      <c r="H1821" s="1221"/>
      <c r="I1821" s="1221"/>
      <c r="J1821" s="1221"/>
      <c r="K1821" s="1221"/>
      <c r="L1821" s="1221"/>
      <c r="M1821" s="1221"/>
      <c r="N1821" s="1666" t="s">
        <v>2064</v>
      </c>
      <c r="O1821" s="1218">
        <f>'Part IX A-Scoring Criteria'!O304</f>
        <v>0</v>
      </c>
      <c r="P1821" s="1218">
        <f>'Part IX A-Scoring Criteria'!P304</f>
        <v>0</v>
      </c>
      <c r="Q1821" s="150"/>
      <c r="R1821" s="150"/>
      <c r="S1821" s="150"/>
    </row>
    <row r="1822" spans="1:19" ht="12.75" customHeight="1">
      <c r="A1822" s="93"/>
      <c r="B1822" s="1712" t="s">
        <v>2622</v>
      </c>
      <c r="C1822" s="1221" t="s">
        <v>4011</v>
      </c>
      <c r="D1822" s="1221"/>
      <c r="E1822" s="1221"/>
      <c r="F1822" s="1221"/>
      <c r="G1822" s="1221"/>
      <c r="H1822" s="1221"/>
      <c r="I1822" s="1221"/>
      <c r="J1822" s="1221"/>
      <c r="K1822" s="1221"/>
      <c r="L1822" s="1221"/>
      <c r="M1822" s="1221"/>
      <c r="N1822" s="1666" t="s">
        <v>2622</v>
      </c>
      <c r="O1822" s="1218">
        <f>'Part IX A-Scoring Criteria'!O305</f>
        <v>0</v>
      </c>
      <c r="P1822" s="1218">
        <f>'Part IX A-Scoring Criteria'!P305</f>
        <v>0</v>
      </c>
      <c r="Q1822" s="150"/>
      <c r="R1822" s="150"/>
      <c r="S1822" s="150"/>
    </row>
    <row r="1823" spans="1:19">
      <c r="A1823" s="150"/>
      <c r="B1823" s="1677"/>
      <c r="C1823" s="1402"/>
      <c r="D1823" s="1402"/>
      <c r="E1823" s="1402"/>
      <c r="F1823" s="1402"/>
      <c r="G1823" s="1402"/>
      <c r="H1823" s="1402"/>
      <c r="I1823" s="150"/>
      <c r="J1823" s="150"/>
      <c r="K1823" s="150"/>
      <c r="L1823" s="150"/>
      <c r="M1823" s="1402"/>
      <c r="N1823" s="1402"/>
      <c r="O1823" s="1402"/>
      <c r="P1823" s="1402"/>
      <c r="Q1823" s="150"/>
      <c r="R1823" s="150"/>
      <c r="S1823" s="150"/>
    </row>
    <row r="1824" spans="1:19" ht="15">
      <c r="A1824" s="196" t="s">
        <v>2061</v>
      </c>
      <c r="B1824" s="1159" t="s">
        <v>2827</v>
      </c>
      <c r="C1824" s="56"/>
      <c r="D1824" s="1220"/>
      <c r="E1824" s="56"/>
      <c r="F1824" s="56"/>
      <c r="G1824" s="54"/>
      <c r="H1824" s="56"/>
      <c r="I1824" s="56"/>
      <c r="J1824" s="56"/>
      <c r="K1824" s="56"/>
      <c r="L1824" s="56"/>
      <c r="M1824" s="484">
        <v>3</v>
      </c>
      <c r="N1824" s="69" t="s">
        <v>2061</v>
      </c>
      <c r="O1824" s="3">
        <f>'Part IX A-Scoring Criteria'!O307</f>
        <v>0</v>
      </c>
      <c r="P1824" s="3">
        <f>'Part IX A-Scoring Criteria'!P307</f>
        <v>0</v>
      </c>
      <c r="Q1824" s="1571"/>
      <c r="R1824" s="1663"/>
      <c r="S1824" s="56"/>
    </row>
    <row r="1825" spans="1:19" ht="15" customHeight="1">
      <c r="A1825" s="781"/>
      <c r="B1825" s="1712" t="s">
        <v>2062</v>
      </c>
      <c r="C1825" s="1221" t="s">
        <v>3716</v>
      </c>
      <c r="D1825" s="1221"/>
      <c r="E1825" s="1221"/>
      <c r="F1825" s="1221"/>
      <c r="G1825" s="1221"/>
      <c r="H1825" s="1221"/>
      <c r="I1825" s="1221"/>
      <c r="J1825" s="1221"/>
      <c r="K1825" s="1221"/>
      <c r="L1825" s="1221"/>
      <c r="M1825" s="1221"/>
      <c r="N1825" s="1666" t="s">
        <v>2062</v>
      </c>
      <c r="O1825" s="1218">
        <f>'Part IX A-Scoring Criteria'!O308</f>
        <v>0</v>
      </c>
      <c r="P1825" s="1218">
        <f>'Part IX A-Scoring Criteria'!P308</f>
        <v>0</v>
      </c>
      <c r="Q1825" s="1748"/>
      <c r="R1825" s="1679"/>
      <c r="S1825" s="1162"/>
    </row>
    <row r="1826" spans="1:19" ht="22.5">
      <c r="A1826" s="781"/>
      <c r="B1826" s="1712"/>
      <c r="C1826" s="1176" t="s">
        <v>4092</v>
      </c>
      <c r="D1826" s="1400"/>
      <c r="E1826" s="1400"/>
      <c r="F1826" s="1400"/>
      <c r="G1826" s="1221">
        <f>'Part IX A-Scoring Criteria'!G309</f>
        <v>0</v>
      </c>
      <c r="H1826" s="1221"/>
      <c r="I1826" s="1221"/>
      <c r="J1826" s="1221"/>
      <c r="K1826" s="1400" t="s">
        <v>4093</v>
      </c>
      <c r="L1826" s="1749">
        <f>'Part IX A-Scoring Criteria'!L309</f>
        <v>0</v>
      </c>
      <c r="M1826" s="1221"/>
      <c r="N1826" s="1666"/>
      <c r="O1826" s="1666"/>
      <c r="P1826" s="1666"/>
      <c r="Q1826" s="1748"/>
      <c r="R1826" s="1679"/>
      <c r="S1826" s="1162"/>
    </row>
    <row r="1827" spans="1:19">
      <c r="A1827" s="93"/>
      <c r="B1827" s="1712" t="s">
        <v>2064</v>
      </c>
      <c r="C1827" s="150" t="s">
        <v>3609</v>
      </c>
      <c r="D1827" s="150"/>
      <c r="E1827" s="150"/>
      <c r="F1827" s="150"/>
      <c r="G1827" s="150"/>
      <c r="H1827" s="150"/>
      <c r="I1827" s="150"/>
      <c r="J1827" s="150" t="s">
        <v>4091</v>
      </c>
      <c r="K1827" s="150"/>
      <c r="L1827" s="1169">
        <f>'Part IX A-Scoring Criteria'!L310</f>
        <v>0</v>
      </c>
      <c r="M1827" s="1750">
        <f>IF('Part VI-Revenues &amp; Expenses'!$O$62=0,0,L1827/'Part VI-Revenues &amp; Expenses'!$O$62)</f>
        <v>0</v>
      </c>
      <c r="N1827" s="1666" t="s">
        <v>2064</v>
      </c>
      <c r="O1827" s="1218">
        <f>'Part IX A-Scoring Criteria'!O310</f>
        <v>0</v>
      </c>
      <c r="P1827" s="1218">
        <f>'Part IX A-Scoring Criteria'!P310</f>
        <v>0</v>
      </c>
      <c r="Q1827" s="150"/>
      <c r="R1827" s="150"/>
      <c r="S1827" s="150"/>
    </row>
    <row r="1828" spans="1:19" ht="15">
      <c r="A1828" s="56"/>
      <c r="B1828" s="147" t="s">
        <v>1937</v>
      </c>
      <c r="C1828" s="533"/>
      <c r="D1828" s="147"/>
      <c r="E1828" s="1400"/>
      <c r="F1828" s="1400"/>
      <c r="G1828" s="1400"/>
      <c r="H1828" s="1400"/>
      <c r="I1828" s="1400"/>
      <c r="J1828" s="1400"/>
      <c r="K1828" s="1400"/>
      <c r="L1828" s="1400"/>
      <c r="M1828" s="1400"/>
      <c r="N1828" s="1672"/>
      <c r="O1828" s="75"/>
      <c r="P1828" s="1190"/>
      <c r="Q1828" s="1669"/>
      <c r="R1828" s="56"/>
      <c r="S1828" s="56"/>
    </row>
    <row r="1829" spans="1:19" ht="15.75">
      <c r="A1829" s="1221">
        <f>'Part IX A-Scoring Criteria'!A312</f>
        <v>0</v>
      </c>
      <c r="B1829" s="1221"/>
      <c r="C1829" s="1221"/>
      <c r="D1829" s="1221"/>
      <c r="E1829" s="1221"/>
      <c r="F1829" s="1221"/>
      <c r="G1829" s="1221"/>
      <c r="H1829" s="1221"/>
      <c r="I1829" s="1221"/>
      <c r="J1829" s="1221"/>
      <c r="K1829" s="1221"/>
      <c r="L1829" s="1221"/>
      <c r="M1829" s="1221"/>
      <c r="N1829" s="1221"/>
      <c r="O1829" s="1221"/>
      <c r="P1829" s="1221"/>
      <c r="Q1829" s="1660" t="s">
        <v>1301</v>
      </c>
      <c r="R1829" s="56"/>
      <c r="S1829" s="56"/>
    </row>
    <row r="1830" spans="1:19" ht="15">
      <c r="A1830" s="533"/>
      <c r="B1830" s="533"/>
      <c r="C1830" s="1400"/>
      <c r="D1830" s="1400"/>
      <c r="E1830" s="1400"/>
      <c r="F1830" s="1400"/>
      <c r="G1830" s="1400"/>
      <c r="H1830" s="1400"/>
      <c r="I1830" s="1400"/>
      <c r="J1830" s="1400"/>
      <c r="K1830" s="1400"/>
      <c r="L1830" s="1400"/>
      <c r="M1830" s="1400"/>
      <c r="N1830" s="1672"/>
      <c r="O1830" s="75"/>
      <c r="P1830" s="1190"/>
      <c r="Q1830" s="56"/>
      <c r="R1830" s="56"/>
      <c r="S1830" s="56"/>
    </row>
    <row r="1831" spans="1:19" ht="15">
      <c r="A1831" s="1655" t="s">
        <v>1735</v>
      </c>
      <c r="B1831" s="112" t="s">
        <v>2828</v>
      </c>
      <c r="C1831" s="56"/>
      <c r="D1831" s="1220"/>
      <c r="E1831" s="56"/>
      <c r="F1831" s="56"/>
      <c r="G1831" s="1720" t="s">
        <v>3602</v>
      </c>
      <c r="H1831" s="56"/>
      <c r="I1831" s="56"/>
      <c r="J1831" s="56"/>
      <c r="K1831" s="56"/>
      <c r="L1831" s="56"/>
      <c r="M1831" s="1190">
        <v>2</v>
      </c>
      <c r="N1831" s="69"/>
      <c r="O1831" s="3">
        <f>'Part IX A-Scoring Criteria'!O314</f>
        <v>0</v>
      </c>
      <c r="P1831" s="3">
        <f>'Part IX A-Scoring Criteria'!P314</f>
        <v>0</v>
      </c>
      <c r="Q1831" s="1190" t="s">
        <v>456</v>
      </c>
      <c r="R1831" s="1663" t="str">
        <f>IF(OR($O1835=$M1831,$O1835=0,$O1835=""),"","* * Check Score! * *")</f>
        <v/>
      </c>
      <c r="S1831" s="56"/>
    </row>
    <row r="1832" spans="1:19" ht="15">
      <c r="A1832" s="1162"/>
      <c r="B1832" s="1712"/>
      <c r="C1832" s="1162"/>
      <c r="D1832" s="1162"/>
      <c r="E1832" s="1162"/>
      <c r="F1832" s="232"/>
      <c r="G1832" s="1219"/>
      <c r="H1832" s="1162"/>
      <c r="I1832" s="1162"/>
      <c r="J1832" s="1162"/>
      <c r="K1832" s="1162"/>
      <c r="L1832" s="1162"/>
      <c r="M1832" s="613"/>
      <c r="N1832" s="613"/>
      <c r="O1832" s="613"/>
      <c r="P1832" s="613"/>
      <c r="Q1832" s="573"/>
      <c r="R1832" s="1162"/>
      <c r="S1832" s="1162"/>
    </row>
    <row r="1833" spans="1:19" ht="15">
      <c r="A1833" s="1162"/>
      <c r="B1833" s="1737" t="s">
        <v>3717</v>
      </c>
      <c r="C1833" s="1162"/>
      <c r="D1833" s="54" t="str">
        <f>'Part IX A-Scoring Criteria'!D316</f>
        <v>&lt;&lt;Select applicable status&gt;&gt;</v>
      </c>
      <c r="E1833" s="54"/>
      <c r="F1833" s="54"/>
      <c r="G1833" s="54"/>
      <c r="H1833" s="54"/>
      <c r="I1833" s="54"/>
      <c r="J1833" s="150" t="s">
        <v>2962</v>
      </c>
      <c r="K1833" s="1162"/>
      <c r="L1833" s="1751">
        <f>'Part III-Sources of Funds'!$I$47</f>
        <v>0</v>
      </c>
      <c r="M1833" s="613"/>
      <c r="N1833" s="613"/>
      <c r="O1833" s="613"/>
      <c r="P1833" s="613"/>
      <c r="Q1833" s="573"/>
      <c r="R1833" s="1162"/>
      <c r="S1833" s="1162"/>
    </row>
    <row r="1834" spans="1:19" ht="15">
      <c r="A1834" s="1162"/>
      <c r="B1834" s="1712"/>
      <c r="C1834" s="1162"/>
      <c r="D1834" s="1162"/>
      <c r="E1834" s="1162"/>
      <c r="F1834" s="1162"/>
      <c r="G1834" s="1162"/>
      <c r="H1834" s="1162"/>
      <c r="I1834" s="1162"/>
      <c r="J1834" s="1162"/>
      <c r="K1834" s="1162"/>
      <c r="L1834" s="1162"/>
      <c r="M1834" s="613"/>
      <c r="N1834" s="613"/>
      <c r="O1834" s="613"/>
      <c r="P1834" s="613"/>
      <c r="Q1834" s="573"/>
      <c r="R1834" s="1162"/>
      <c r="S1834" s="1162"/>
    </row>
    <row r="1835" spans="1:19" ht="15">
      <c r="A1835" s="1752" t="s">
        <v>2058</v>
      </c>
      <c r="B1835" s="1326" t="s">
        <v>4244</v>
      </c>
      <c r="C1835" s="150"/>
      <c r="D1835" s="150"/>
      <c r="E1835" s="150"/>
      <c r="F1835" s="150"/>
      <c r="G1835" s="150"/>
      <c r="H1835" s="150"/>
      <c r="I1835" s="150"/>
      <c r="J1835" s="150" t="s">
        <v>4012</v>
      </c>
      <c r="K1835" s="1162"/>
      <c r="L1835" s="1751">
        <f>'Part VI-Revenues &amp; Expenses'!$O$82</f>
        <v>0</v>
      </c>
      <c r="M1835" s="613">
        <v>2</v>
      </c>
      <c r="N1835" s="236" t="s">
        <v>2058</v>
      </c>
      <c r="O1835" s="3">
        <f>'Part IX A-Scoring Criteria'!O318</f>
        <v>0</v>
      </c>
      <c r="P1835" s="3">
        <f>'Part IX A-Scoring Criteria'!P318</f>
        <v>0</v>
      </c>
      <c r="Q1835" s="573" t="s">
        <v>2811</v>
      </c>
      <c r="R1835" s="1162"/>
      <c r="S1835" s="1162"/>
    </row>
    <row r="1836" spans="1:19" ht="15" customHeight="1">
      <c r="A1836" s="1748"/>
      <c r="B1836" s="1221" t="s">
        <v>4013</v>
      </c>
      <c r="C1836" s="1221"/>
      <c r="D1836" s="1221"/>
      <c r="E1836" s="1221"/>
      <c r="F1836" s="1221"/>
      <c r="G1836" s="1221"/>
      <c r="H1836" s="1221"/>
      <c r="I1836" s="150"/>
      <c r="J1836" s="1176" t="s">
        <v>2960</v>
      </c>
      <c r="K1836" s="1162"/>
      <c r="L1836" s="1751">
        <f>'Part VI-Revenues &amp; Expenses'!$O$62</f>
        <v>208</v>
      </c>
      <c r="M1836" s="613"/>
      <c r="N1836" s="613"/>
      <c r="O1836" s="613"/>
      <c r="P1836" s="613"/>
      <c r="Q1836" s="573"/>
      <c r="R1836" s="1162"/>
      <c r="S1836" s="1162"/>
    </row>
    <row r="1837" spans="1:19" ht="15">
      <c r="A1837" s="1162"/>
      <c r="B1837" s="1221"/>
      <c r="C1837" s="1221"/>
      <c r="D1837" s="1221"/>
      <c r="E1837" s="1221"/>
      <c r="F1837" s="1221"/>
      <c r="G1837" s="1221"/>
      <c r="H1837" s="1221"/>
      <c r="I1837" s="1162"/>
      <c r="J1837" s="1220" t="s">
        <v>2961</v>
      </c>
      <c r="K1837" s="1162"/>
      <c r="L1837" s="1753">
        <f>IF(L1836=0,0,L1835/L1836)</f>
        <v>0</v>
      </c>
      <c r="M1837" s="613"/>
      <c r="N1837" s="613"/>
      <c r="O1837" s="613"/>
      <c r="P1837" s="613"/>
      <c r="Q1837" s="573"/>
      <c r="R1837" s="1162"/>
      <c r="S1837" s="1162"/>
    </row>
    <row r="1838" spans="1:19" ht="15">
      <c r="A1838" s="1162"/>
      <c r="B1838" s="1712"/>
      <c r="C1838" s="1162"/>
      <c r="D1838" s="1162"/>
      <c r="E1838" s="1162"/>
      <c r="F1838" s="232"/>
      <c r="G1838" s="1219"/>
      <c r="H1838" s="1162"/>
      <c r="I1838" s="1162"/>
      <c r="J1838" s="1162"/>
      <c r="K1838" s="1162"/>
      <c r="L1838" s="1162"/>
      <c r="M1838" s="613"/>
      <c r="N1838" s="613"/>
      <c r="O1838" s="613"/>
      <c r="P1838" s="613"/>
      <c r="Q1838" s="573"/>
      <c r="R1838" s="1162"/>
      <c r="S1838" s="1162"/>
    </row>
    <row r="1839" spans="1:19" ht="15.75" customHeight="1">
      <c r="A1839" s="93" t="s">
        <v>1403</v>
      </c>
      <c r="B1839" s="1221" t="str">
        <f>'Part IX A-Scoring Criteria'!B322</f>
        <v>&lt;&lt;  Enter here Applicant's Narrative of how building will be reused  &gt;&gt;</v>
      </c>
      <c r="C1839" s="1221"/>
      <c r="D1839" s="1221"/>
      <c r="E1839" s="1221"/>
      <c r="F1839" s="1221"/>
      <c r="G1839" s="1221"/>
      <c r="H1839" s="1221"/>
      <c r="I1839" s="1221"/>
      <c r="J1839" s="1221"/>
      <c r="K1839" s="1221"/>
      <c r="L1839" s="1221"/>
      <c r="M1839" s="1221"/>
      <c r="N1839" s="1221"/>
      <c r="O1839" s="1221"/>
      <c r="P1839" s="1221"/>
      <c r="Q1839" s="1516" t="s">
        <v>1301</v>
      </c>
      <c r="R1839" s="1516"/>
      <c r="S1839" s="1516"/>
    </row>
    <row r="1840" spans="1:19" ht="15">
      <c r="A1840" s="1162"/>
      <c r="B1840" s="1712"/>
      <c r="C1840" s="1162"/>
      <c r="D1840" s="1162"/>
      <c r="E1840" s="1162"/>
      <c r="F1840" s="232"/>
      <c r="G1840" s="1219"/>
      <c r="H1840" s="1162"/>
      <c r="I1840" s="1162"/>
      <c r="J1840" s="1162"/>
      <c r="K1840" s="1162"/>
      <c r="L1840" s="1162"/>
      <c r="M1840" s="613"/>
      <c r="N1840" s="613"/>
      <c r="O1840" s="613"/>
      <c r="P1840" s="613"/>
      <c r="Q1840" s="573"/>
      <c r="R1840" s="1162"/>
      <c r="S1840" s="1162"/>
    </row>
    <row r="1841" spans="1:19" ht="15">
      <c r="A1841" s="1752" t="s">
        <v>2061</v>
      </c>
      <c r="B1841" s="1326" t="s">
        <v>3545</v>
      </c>
      <c r="C1841" s="150"/>
      <c r="D1841" s="1162"/>
      <c r="E1841" s="1162"/>
      <c r="F1841" s="1162"/>
      <c r="G1841" s="1162"/>
      <c r="H1841" s="150"/>
      <c r="I1841" s="1162"/>
      <c r="J1841" s="150" t="s">
        <v>3611</v>
      </c>
      <c r="K1841" s="1162"/>
      <c r="L1841" s="1751">
        <f>'Part VI-Revenues &amp; Expenses'!$O$84</f>
        <v>0</v>
      </c>
      <c r="M1841" s="613">
        <v>1</v>
      </c>
      <c r="N1841" s="236" t="s">
        <v>2061</v>
      </c>
      <c r="O1841" s="3">
        <f>'Part IX A-Scoring Criteria'!O324</f>
        <v>0</v>
      </c>
      <c r="P1841" s="3">
        <f>'Part IX A-Scoring Criteria'!P324</f>
        <v>0</v>
      </c>
      <c r="Q1841" s="573" t="s">
        <v>2811</v>
      </c>
      <c r="R1841" s="1162"/>
      <c r="S1841" s="1162"/>
    </row>
    <row r="1842" spans="1:19" ht="15" customHeight="1">
      <c r="A1842" s="1752"/>
      <c r="B1842" s="1221" t="s">
        <v>4120</v>
      </c>
      <c r="C1842" s="1221"/>
      <c r="D1842" s="1221"/>
      <c r="E1842" s="1221"/>
      <c r="F1842" s="1221"/>
      <c r="G1842" s="1221"/>
      <c r="H1842" s="1221"/>
      <c r="I1842" s="1221"/>
      <c r="J1842" s="1176" t="s">
        <v>2960</v>
      </c>
      <c r="K1842" s="1162"/>
      <c r="L1842" s="1751">
        <f>'Part VI-Revenues &amp; Expenses'!$O$62</f>
        <v>208</v>
      </c>
      <c r="M1842" s="613"/>
      <c r="N1842" s="613"/>
      <c r="O1842" s="613"/>
      <c r="P1842" s="613"/>
      <c r="Q1842" s="573"/>
      <c r="R1842" s="1162"/>
      <c r="S1842" s="1162"/>
    </row>
    <row r="1843" spans="1:19" ht="15">
      <c r="A1843" s="1752"/>
      <c r="B1843" s="1221"/>
      <c r="C1843" s="1221"/>
      <c r="D1843" s="1221"/>
      <c r="E1843" s="1221"/>
      <c r="F1843" s="1221"/>
      <c r="G1843" s="1221"/>
      <c r="H1843" s="1221"/>
      <c r="I1843" s="1221"/>
      <c r="J1843" s="1220" t="s">
        <v>2961</v>
      </c>
      <c r="K1843" s="1162"/>
      <c r="L1843" s="1753">
        <f>IF(L1842=0,0,L1841/L1842)</f>
        <v>0</v>
      </c>
      <c r="M1843" s="613"/>
      <c r="N1843" s="613"/>
      <c r="O1843" s="613"/>
      <c r="P1843" s="613"/>
      <c r="Q1843" s="573"/>
      <c r="R1843" s="1162"/>
      <c r="S1843" s="1162"/>
    </row>
    <row r="1844" spans="1:19" ht="15">
      <c r="A1844" s="56"/>
      <c r="B1844" s="147" t="s">
        <v>1937</v>
      </c>
      <c r="C1844" s="533"/>
      <c r="D1844" s="147"/>
      <c r="E1844" s="1400"/>
      <c r="F1844" s="1400"/>
      <c r="G1844" s="1400"/>
      <c r="H1844" s="1400"/>
      <c r="I1844" s="1400"/>
      <c r="J1844" s="1400"/>
      <c r="K1844" s="1400"/>
      <c r="L1844" s="1400"/>
      <c r="M1844" s="1400"/>
      <c r="N1844" s="1672"/>
      <c r="O1844" s="75"/>
      <c r="P1844" s="1190"/>
      <c r="Q1844" s="1669"/>
      <c r="R1844" s="56"/>
      <c r="S1844" s="56"/>
    </row>
    <row r="1845" spans="1:19" ht="15.75">
      <c r="A1845" s="1221">
        <f>'Part IX A-Scoring Criteria'!A328</f>
        <v>0</v>
      </c>
      <c r="B1845" s="1221"/>
      <c r="C1845" s="1221"/>
      <c r="D1845" s="1221"/>
      <c r="E1845" s="1221"/>
      <c r="F1845" s="1221"/>
      <c r="G1845" s="1221"/>
      <c r="H1845" s="1221"/>
      <c r="I1845" s="1221"/>
      <c r="J1845" s="1221"/>
      <c r="K1845" s="1221"/>
      <c r="L1845" s="1221"/>
      <c r="M1845" s="1221"/>
      <c r="N1845" s="1221"/>
      <c r="O1845" s="1221"/>
      <c r="P1845" s="1221"/>
      <c r="Q1845" s="1660" t="s">
        <v>1301</v>
      </c>
      <c r="R1845" s="56"/>
      <c r="S1845" s="56"/>
    </row>
    <row r="1846" spans="1:19" ht="15">
      <c r="A1846" s="533"/>
      <c r="B1846" s="533"/>
      <c r="C1846" s="1400"/>
      <c r="D1846" s="1400"/>
      <c r="E1846" s="1400"/>
      <c r="F1846" s="1400"/>
      <c r="G1846" s="1400"/>
      <c r="H1846" s="1400"/>
      <c r="I1846" s="1400"/>
      <c r="J1846" s="1400"/>
      <c r="K1846" s="1400"/>
      <c r="L1846" s="1400"/>
      <c r="M1846" s="1400"/>
      <c r="N1846" s="1672"/>
      <c r="O1846" s="75"/>
      <c r="P1846" s="1190"/>
      <c r="Q1846" s="56"/>
      <c r="R1846" s="56"/>
      <c r="S1846" s="56"/>
    </row>
    <row r="1847" spans="1:19" ht="15">
      <c r="A1847" s="166" t="s">
        <v>1736</v>
      </c>
      <c r="B1847" s="112" t="s">
        <v>2721</v>
      </c>
      <c r="C1847" s="56"/>
      <c r="D1847" s="124"/>
      <c r="E1847" s="124"/>
      <c r="F1847" s="56"/>
      <c r="G1847" s="56"/>
      <c r="H1847" s="56"/>
      <c r="I1847" s="1721" t="s">
        <v>3023</v>
      </c>
      <c r="J1847" s="124"/>
      <c r="K1847" s="124"/>
      <c r="L1847" s="56"/>
      <c r="M1847" s="31">
        <v>5</v>
      </c>
      <c r="N1847" s="56"/>
      <c r="O1847" s="56"/>
      <c r="P1847" s="1190">
        <f>'Part IX A-Scoring Criteria'!P330</f>
        <v>0</v>
      </c>
      <c r="Q1847" s="1190" t="s">
        <v>456</v>
      </c>
      <c r="R1847" s="56"/>
      <c r="S1847" s="56"/>
    </row>
    <row r="1848" spans="1:19" ht="15">
      <c r="A1848" s="166"/>
      <c r="B1848" s="56"/>
      <c r="C1848" s="56"/>
      <c r="D1848" s="56"/>
      <c r="E1848" s="56"/>
      <c r="F1848" s="56"/>
      <c r="G1848" s="56"/>
      <c r="H1848" s="56"/>
      <c r="I1848" s="56"/>
      <c r="J1848" s="56"/>
      <c r="K1848" s="56"/>
      <c r="L1848" s="56"/>
      <c r="M1848" s="1754"/>
      <c r="N1848" s="56"/>
      <c r="O1848" s="56"/>
      <c r="P1848" s="56"/>
      <c r="Q1848" s="1190"/>
      <c r="R1848" s="56"/>
      <c r="S1848" s="56"/>
    </row>
    <row r="1849" spans="1:19" ht="15">
      <c r="A1849" s="166"/>
      <c r="B1849" s="109" t="s">
        <v>4121</v>
      </c>
      <c r="C1849" s="109"/>
      <c r="D1849" s="1755">
        <f ca="1">IF('Part VI-Revenues &amp; Expenses'!$O$62=0,0,'Part IV-Uses of Funds'!$J$172/'Part VI-Revenues &amp; Expenses'!$O$62)</f>
        <v>4259.0922222637937</v>
      </c>
      <c r="E1849" s="1755"/>
      <c r="F1849" s="109" t="s">
        <v>4122</v>
      </c>
      <c r="G1849" s="1756"/>
      <c r="H1849" s="1757">
        <f>IF('Part VI-Revenues &amp; Expenses'!$O$62=0,0,('Part VI-Revenues &amp; Expenses'!$O$77+'Part VI-Revenues &amp; Expenses'!$O$80+'Part VI-Revenues &amp; Expenses'!$O$84)/'Part VI-Revenues &amp; Expenses'!$O$62)</f>
        <v>1</v>
      </c>
      <c r="I1849" s="1568" t="s">
        <v>4245</v>
      </c>
      <c r="J1849" s="124"/>
      <c r="K1849" s="124"/>
      <c r="L1849" s="56"/>
      <c r="M1849" s="484">
        <v>20</v>
      </c>
      <c r="N1849" s="484"/>
      <c r="O1849" s="3">
        <f>'Part IX A-Scoring Criteria'!O332</f>
        <v>0</v>
      </c>
      <c r="P1849" s="3">
        <f>'Part IX A-Scoring Criteria'!P332</f>
        <v>0</v>
      </c>
      <c r="Q1849" s="1190"/>
      <c r="R1849" s="56"/>
      <c r="S1849" s="56"/>
    </row>
    <row r="1850" spans="1:19" ht="15">
      <c r="A1850" s="196" t="s">
        <v>2058</v>
      </c>
      <c r="B1850" s="1218" t="s">
        <v>2062</v>
      </c>
      <c r="C1850" s="54" t="s">
        <v>4015</v>
      </c>
      <c r="D1850" s="56"/>
      <c r="E1850" s="54"/>
      <c r="F1850" s="54"/>
      <c r="G1850" s="54"/>
      <c r="H1850" s="56"/>
      <c r="I1850" s="56"/>
      <c r="J1850" s="56"/>
      <c r="K1850" s="56"/>
      <c r="L1850" s="56"/>
      <c r="M1850" s="613">
        <v>6</v>
      </c>
      <c r="N1850" s="124"/>
      <c r="O1850" s="1758">
        <f>'Part IX A-Scoring Criteria'!O333</f>
        <v>0</v>
      </c>
      <c r="P1850" s="1758">
        <f>'Part IX A-Scoring Criteria'!P333</f>
        <v>0</v>
      </c>
      <c r="Q1850" s="573" t="s">
        <v>2811</v>
      </c>
      <c r="R1850" s="56"/>
      <c r="S1850" s="56"/>
    </row>
    <row r="1851" spans="1:19" ht="15">
      <c r="A1851" s="1326"/>
      <c r="B1851" s="1218"/>
      <c r="C1851" s="1220" t="s">
        <v>3881</v>
      </c>
      <c r="D1851" s="1169">
        <f>'Part IX A-Scoring Criteria'!D334</f>
        <v>0</v>
      </c>
      <c r="E1851" s="54"/>
      <c r="F1851" s="1220" t="s">
        <v>3882</v>
      </c>
      <c r="G1851" s="1759">
        <f>'Part IX A-Scoring Criteria'!G334</f>
        <v>0</v>
      </c>
      <c r="H1851" s="56"/>
      <c r="I1851" s="467" t="s">
        <v>4016</v>
      </c>
      <c r="J1851" s="467"/>
      <c r="K1851" s="61">
        <f>'Part IX A-Scoring Criteria'!K334:L334</f>
        <v>0</v>
      </c>
      <c r="L1851" s="61"/>
      <c r="M1851" s="613"/>
      <c r="N1851" s="124"/>
      <c r="O1851" s="1758"/>
      <c r="P1851" s="1758"/>
      <c r="Q1851" s="573"/>
      <c r="R1851" s="56"/>
      <c r="S1851" s="56"/>
    </row>
    <row r="1852" spans="1:19" ht="15">
      <c r="A1852" s="1326" t="s">
        <v>1403</v>
      </c>
      <c r="B1852" s="1218" t="s">
        <v>2064</v>
      </c>
      <c r="C1852" s="54" t="s">
        <v>4017</v>
      </c>
      <c r="D1852" s="56"/>
      <c r="E1852" s="54"/>
      <c r="F1852" s="54"/>
      <c r="G1852" s="54"/>
      <c r="H1852" s="56"/>
      <c r="I1852" s="56"/>
      <c r="J1852" s="56"/>
      <c r="K1852" s="56"/>
      <c r="L1852" s="56"/>
      <c r="M1852" s="613">
        <v>2</v>
      </c>
      <c r="N1852" s="124"/>
      <c r="O1852" s="1758"/>
      <c r="P1852" s="1758"/>
      <c r="Q1852" s="573"/>
      <c r="R1852" s="56"/>
      <c r="S1852" s="56"/>
    </row>
    <row r="1853" spans="1:19" ht="15">
      <c r="A1853" s="1326"/>
      <c r="B1853" s="56"/>
      <c r="C1853" s="1220" t="s">
        <v>3881</v>
      </c>
      <c r="D1853" s="1169">
        <f>'Part IX A-Scoring Criteria'!D336</f>
        <v>0</v>
      </c>
      <c r="E1853" s="54"/>
      <c r="F1853" s="1220" t="s">
        <v>3882</v>
      </c>
      <c r="G1853" s="1759">
        <f>'Part IX A-Scoring Criteria'!G336</f>
        <v>0</v>
      </c>
      <c r="H1853" s="56"/>
      <c r="I1853" s="467" t="s">
        <v>4016</v>
      </c>
      <c r="J1853" s="467"/>
      <c r="K1853" s="61">
        <f>'Part IX A-Scoring Criteria'!K336:L336</f>
        <v>0</v>
      </c>
      <c r="L1853" s="61"/>
      <c r="M1853" s="613"/>
      <c r="N1853" s="124"/>
      <c r="O1853" s="1758"/>
      <c r="P1853" s="1758"/>
      <c r="Q1853" s="573"/>
      <c r="R1853" s="56"/>
      <c r="S1853" s="56"/>
    </row>
    <row r="1854" spans="1:19" ht="15" customHeight="1">
      <c r="A1854" s="1326" t="s">
        <v>1403</v>
      </c>
      <c r="B1854" s="1760" t="s">
        <v>2622</v>
      </c>
      <c r="C1854" s="1221" t="s">
        <v>3612</v>
      </c>
      <c r="D1854" s="1221"/>
      <c r="E1854" s="1221"/>
      <c r="F1854" s="1221"/>
      <c r="G1854" s="1221"/>
      <c r="H1854" s="1221"/>
      <c r="I1854" s="1221"/>
      <c r="J1854" s="1221"/>
      <c r="K1854" s="1221"/>
      <c r="L1854" s="1221"/>
      <c r="M1854" s="613">
        <v>5</v>
      </c>
      <c r="N1854" s="614"/>
      <c r="O1854" s="1758"/>
      <c r="P1854" s="1758"/>
      <c r="Q1854" s="573"/>
      <c r="R1854" s="1162"/>
      <c r="S1854" s="1162"/>
    </row>
    <row r="1855" spans="1:19" ht="15">
      <c r="A1855" s="1326"/>
      <c r="B1855" s="781"/>
      <c r="C1855" s="1176" t="s">
        <v>3869</v>
      </c>
      <c r="D1855" s="1402"/>
      <c r="E1855" s="1162"/>
      <c r="F1855" s="1162"/>
      <c r="G1855" s="1761">
        <f>'Part IX A-Scoring Criteria'!G338</f>
        <v>0</v>
      </c>
      <c r="H1855" s="1402"/>
      <c r="I1855" s="1176" t="s">
        <v>3868</v>
      </c>
      <c r="J1855" s="1162"/>
      <c r="K1855" s="1761">
        <f>'Part IX A-Scoring Criteria'!K338</f>
        <v>0</v>
      </c>
      <c r="L1855" s="1162"/>
      <c r="M1855" s="1402"/>
      <c r="N1855" s="1402"/>
      <c r="O1855" s="1402"/>
      <c r="P1855" s="1402"/>
      <c r="Q1855" s="1402"/>
      <c r="R1855" s="1402"/>
      <c r="S1855" s="1162"/>
    </row>
    <row r="1856" spans="1:19" ht="15" customHeight="1">
      <c r="A1856" s="781" t="s">
        <v>2061</v>
      </c>
      <c r="B1856" s="1162"/>
      <c r="C1856" s="1221" t="s">
        <v>4018</v>
      </c>
      <c r="D1856" s="1221"/>
      <c r="E1856" s="1221"/>
      <c r="F1856" s="1221"/>
      <c r="G1856" s="1221"/>
      <c r="H1856" s="1221"/>
      <c r="I1856" s="1221"/>
      <c r="J1856" s="1221"/>
      <c r="K1856" s="1221"/>
      <c r="L1856" s="1221"/>
      <c r="M1856" s="613">
        <v>2</v>
      </c>
      <c r="N1856" s="614"/>
      <c r="O1856" s="3">
        <f>'Part IX A-Scoring Criteria'!O339</f>
        <v>0</v>
      </c>
      <c r="P1856" s="3">
        <f>'Part IX A-Scoring Criteria'!P339</f>
        <v>0</v>
      </c>
      <c r="Q1856" s="1681" t="s">
        <v>2811</v>
      </c>
      <c r="R1856" s="1162"/>
      <c r="S1856" s="1162"/>
    </row>
    <row r="1857" spans="1:19" ht="22.5">
      <c r="A1857" s="781"/>
      <c r="B1857" s="1712"/>
      <c r="C1857" s="1176" t="s">
        <v>4094</v>
      </c>
      <c r="D1857" s="1400"/>
      <c r="E1857" s="1400"/>
      <c r="F1857" s="1221">
        <f>'Part IX A-Scoring Criteria'!F340</f>
        <v>0</v>
      </c>
      <c r="G1857" s="1221"/>
      <c r="H1857" s="1221"/>
      <c r="I1857" s="1221"/>
      <c r="K1857" s="1400" t="s">
        <v>4093</v>
      </c>
      <c r="L1857" s="1749">
        <f>'Part IX A-Scoring Criteria'!L340</f>
        <v>0</v>
      </c>
      <c r="M1857" s="1221"/>
      <c r="N1857" s="1666"/>
      <c r="O1857" s="1666"/>
      <c r="P1857" s="1666"/>
      <c r="Q1857" s="1748"/>
      <c r="R1857" s="1679"/>
      <c r="S1857" s="1162"/>
    </row>
    <row r="1858" spans="1:19" ht="15" customHeight="1">
      <c r="A1858" s="781" t="s">
        <v>779</v>
      </c>
      <c r="B1858" s="1162"/>
      <c r="C1858" s="1221" t="s">
        <v>4019</v>
      </c>
      <c r="D1858" s="1221"/>
      <c r="E1858" s="1221"/>
      <c r="F1858" s="1221"/>
      <c r="G1858" s="1221"/>
      <c r="H1858" s="1221"/>
      <c r="I1858" s="1221"/>
      <c r="J1858" s="1221" t="s">
        <v>4021</v>
      </c>
      <c r="K1858" s="1221"/>
      <c r="L1858" s="1218" t="str">
        <f>'Part I-Project Information'!$H$90</f>
        <v>N/A - 4% Bond</v>
      </c>
      <c r="M1858" s="613">
        <v>3</v>
      </c>
      <c r="N1858" s="614"/>
      <c r="O1858" s="1758">
        <f>'Part IX A-Scoring Criteria'!O341</f>
        <v>0</v>
      </c>
      <c r="P1858" s="1758">
        <f>'Part IX A-Scoring Criteria'!P341</f>
        <v>0</v>
      </c>
      <c r="Q1858" s="573" t="s">
        <v>2811</v>
      </c>
      <c r="R1858" s="1162"/>
      <c r="S1858" s="1162"/>
    </row>
    <row r="1859" spans="1:19" ht="15" customHeight="1">
      <c r="A1859" s="781"/>
      <c r="B1859" s="1162"/>
      <c r="C1859" s="1221"/>
      <c r="D1859" s="1221"/>
      <c r="E1859" s="1221"/>
      <c r="F1859" s="1221"/>
      <c r="G1859" s="1221"/>
      <c r="H1859" s="1221"/>
      <c r="I1859" s="1221"/>
      <c r="J1859" s="1221" t="s">
        <v>4022</v>
      </c>
      <c r="K1859" s="1221"/>
      <c r="L1859" s="1762">
        <f>'Part IX A-Scoring Criteria'!L342</f>
        <v>0</v>
      </c>
      <c r="M1859" s="613"/>
      <c r="N1859" s="614"/>
      <c r="O1859" s="1758"/>
      <c r="P1859" s="1758"/>
      <c r="Q1859" s="573"/>
      <c r="R1859" s="1162"/>
      <c r="S1859" s="1162"/>
    </row>
    <row r="1860" spans="1:19" ht="15" customHeight="1">
      <c r="A1860" s="781" t="s">
        <v>2193</v>
      </c>
      <c r="B1860" s="1162"/>
      <c r="C1860" s="1221" t="s">
        <v>4020</v>
      </c>
      <c r="D1860" s="1221"/>
      <c r="E1860" s="1221"/>
      <c r="F1860" s="1221"/>
      <c r="G1860" s="1221"/>
      <c r="H1860" s="1221"/>
      <c r="I1860" s="150"/>
      <c r="J1860" s="1221" t="s">
        <v>4023</v>
      </c>
      <c r="K1860" s="1221"/>
      <c r="L1860" s="1762">
        <f>'Part IX A-Scoring Criteria'!L343</f>
        <v>0</v>
      </c>
      <c r="M1860" s="613">
        <v>3</v>
      </c>
      <c r="N1860" s="614"/>
      <c r="O1860" s="3">
        <f>'Part IX A-Scoring Criteria'!O343</f>
        <v>0</v>
      </c>
      <c r="P1860" s="3">
        <f>'Part IX A-Scoring Criteria'!P343</f>
        <v>0</v>
      </c>
      <c r="Q1860" s="573" t="s">
        <v>2811</v>
      </c>
      <c r="R1860" s="1162"/>
      <c r="S1860" s="1162"/>
    </row>
    <row r="1861" spans="1:19" ht="15" customHeight="1">
      <c r="A1861" s="781" t="s">
        <v>1801</v>
      </c>
      <c r="B1861" s="1218" t="s">
        <v>2062</v>
      </c>
      <c r="C1861" s="1221" t="s">
        <v>3705</v>
      </c>
      <c r="D1861" s="1221"/>
      <c r="E1861" s="1221"/>
      <c r="F1861" s="1221"/>
      <c r="G1861" s="1221"/>
      <c r="H1861" s="1221"/>
      <c r="I1861" s="1221"/>
      <c r="J1861" s="1221"/>
      <c r="K1861" s="1221"/>
      <c r="L1861" s="1221"/>
      <c r="M1861" s="613">
        <v>2</v>
      </c>
      <c r="N1861" s="124"/>
      <c r="O1861" s="1758">
        <f>'Part IX A-Scoring Criteria'!O344</f>
        <v>0</v>
      </c>
      <c r="P1861" s="1758">
        <f>'Part IX A-Scoring Criteria'!P344</f>
        <v>0</v>
      </c>
      <c r="Q1861" s="573" t="s">
        <v>2811</v>
      </c>
      <c r="R1861" s="56"/>
      <c r="S1861" s="56"/>
    </row>
    <row r="1862" spans="1:19" ht="15" customHeight="1">
      <c r="A1862" s="1326" t="s">
        <v>1403</v>
      </c>
      <c r="B1862" s="1218" t="s">
        <v>2064</v>
      </c>
      <c r="C1862" s="1616" t="s">
        <v>3704</v>
      </c>
      <c r="D1862" s="1616"/>
      <c r="E1862" s="1616"/>
      <c r="F1862" s="1616"/>
      <c r="G1862" s="1616"/>
      <c r="H1862" s="1616"/>
      <c r="I1862" s="1616"/>
      <c r="J1862" s="1616"/>
      <c r="K1862" s="1616"/>
      <c r="L1862" s="1616"/>
      <c r="M1862" s="615">
        <v>1</v>
      </c>
      <c r="N1862" s="124"/>
      <c r="O1862" s="1758"/>
      <c r="P1862" s="1758"/>
      <c r="Q1862" s="467"/>
      <c r="R1862" s="56"/>
      <c r="S1862" s="56"/>
    </row>
    <row r="1863" spans="1:19" ht="15">
      <c r="A1863" s="56"/>
      <c r="B1863" s="1326"/>
      <c r="C1863" s="1171" t="s">
        <v>3879</v>
      </c>
      <c r="D1863" s="1171"/>
      <c r="E1863" s="1171"/>
      <c r="F1863" s="1408" t="s">
        <v>3872</v>
      </c>
      <c r="G1863" s="1408" t="s">
        <v>3873</v>
      </c>
      <c r="H1863" s="1408" t="s">
        <v>3874</v>
      </c>
      <c r="I1863" s="1408" t="s">
        <v>3875</v>
      </c>
      <c r="J1863" s="1408" t="s">
        <v>3876</v>
      </c>
      <c r="K1863" s="1408" t="s">
        <v>3877</v>
      </c>
      <c r="L1863" s="1408" t="s">
        <v>3878</v>
      </c>
      <c r="M1863" s="1409"/>
      <c r="N1863" s="1409"/>
      <c r="O1863" s="1409"/>
      <c r="P1863" s="1409"/>
      <c r="Q1863" s="467"/>
      <c r="R1863" s="56"/>
      <c r="S1863" s="56"/>
    </row>
    <row r="1864" spans="1:19" ht="15">
      <c r="A1864" s="56"/>
      <c r="B1864" s="1326"/>
      <c r="C1864" s="71" t="s">
        <v>3880</v>
      </c>
      <c r="D1864" s="71"/>
      <c r="E1864" s="71"/>
      <c r="F1864" s="1763">
        <f>'Part IX A-Scoring Criteria'!F347</f>
        <v>0</v>
      </c>
      <c r="G1864" s="1763">
        <f>'Part IX A-Scoring Criteria'!G347</f>
        <v>0</v>
      </c>
      <c r="H1864" s="1763">
        <f>'Part IX A-Scoring Criteria'!H347</f>
        <v>0</v>
      </c>
      <c r="I1864" s="1763">
        <f>'Part IX A-Scoring Criteria'!I347</f>
        <v>0</v>
      </c>
      <c r="J1864" s="1763">
        <f>'Part IX A-Scoring Criteria'!J347</f>
        <v>0</v>
      </c>
      <c r="K1864" s="1763">
        <f>'Part IX A-Scoring Criteria'!K347</f>
        <v>0</v>
      </c>
      <c r="L1864" s="1763" t="str">
        <f>IF(OR(F1864=0,G1864=0,H1864=0,I1864=0,J1864=0,K1864=0),"Missing Rent Roll",AVERAGE(F1864,G1864,H1864,I1864,J1864,K1864))</f>
        <v>Missing Rent Roll</v>
      </c>
      <c r="M1864" s="1409"/>
      <c r="N1864" s="1409"/>
      <c r="O1864" s="1409"/>
      <c r="P1864" s="1409"/>
      <c r="Q1864" s="467"/>
      <c r="R1864" s="56"/>
      <c r="S1864" s="56"/>
    </row>
    <row r="1865" spans="1:19" ht="15" customHeight="1">
      <c r="A1865" s="781" t="s">
        <v>1802</v>
      </c>
      <c r="B1865" s="1637" t="s">
        <v>2062</v>
      </c>
      <c r="C1865" s="1221" t="s">
        <v>3613</v>
      </c>
      <c r="D1865" s="1221"/>
      <c r="E1865" s="1221"/>
      <c r="F1865" s="1221"/>
      <c r="G1865" s="1221"/>
      <c r="H1865" s="1221"/>
      <c r="I1865" s="1221"/>
      <c r="J1865" s="1162"/>
      <c r="K1865" s="1221" t="s">
        <v>4124</v>
      </c>
      <c r="L1865" s="1221"/>
      <c r="M1865" s="613">
        <v>2</v>
      </c>
      <c r="N1865" s="614"/>
      <c r="O1865" s="1758">
        <f>'Part IX A-Scoring Criteria'!O348</f>
        <v>0</v>
      </c>
      <c r="P1865" s="1758">
        <f>'Part IX A-Scoring Criteria'!P348</f>
        <v>0</v>
      </c>
      <c r="Q1865" s="573" t="s">
        <v>2811</v>
      </c>
      <c r="R1865" s="1162"/>
      <c r="S1865" s="1162"/>
    </row>
    <row r="1866" spans="1:19" ht="15" customHeight="1">
      <c r="A1866" s="1326" t="s">
        <v>1403</v>
      </c>
      <c r="B1866" s="1637" t="s">
        <v>2064</v>
      </c>
      <c r="C1866" s="1221" t="s">
        <v>3614</v>
      </c>
      <c r="D1866" s="1221"/>
      <c r="E1866" s="1221"/>
      <c r="F1866" s="1221"/>
      <c r="G1866" s="1221"/>
      <c r="H1866" s="1221"/>
      <c r="I1866" s="1221"/>
      <c r="J1866" s="1221"/>
      <c r="K1866" s="1540">
        <f>'Part IX A-Scoring Criteria'!K349</f>
        <v>0</v>
      </c>
      <c r="L1866" s="1540"/>
      <c r="M1866" s="613">
        <v>1</v>
      </c>
      <c r="N1866" s="614"/>
      <c r="O1866" s="1758"/>
      <c r="P1866" s="1758"/>
      <c r="Q1866" s="573"/>
      <c r="R1866" s="1162"/>
      <c r="S1866" s="1162"/>
    </row>
    <row r="1867" spans="1:19" ht="15" customHeight="1">
      <c r="A1867" s="196" t="s">
        <v>2021</v>
      </c>
      <c r="B1867" s="98"/>
      <c r="C1867" s="144" t="s">
        <v>3615</v>
      </c>
      <c r="D1867" s="144"/>
      <c r="E1867" s="144"/>
      <c r="F1867" s="144"/>
      <c r="G1867" s="144"/>
      <c r="H1867" s="144"/>
      <c r="I1867" s="144"/>
      <c r="J1867" s="144"/>
      <c r="K1867" s="144"/>
      <c r="L1867" s="144"/>
      <c r="M1867" s="1406">
        <v>2</v>
      </c>
      <c r="N1867" s="1764"/>
      <c r="O1867" s="3">
        <f>'Part IX A-Scoring Criteria'!O350</f>
        <v>0</v>
      </c>
      <c r="P1867" s="3">
        <f>'Part IX A-Scoring Criteria'!P350</f>
        <v>0</v>
      </c>
      <c r="Q1867" s="573" t="s">
        <v>2811</v>
      </c>
      <c r="R1867" s="98"/>
      <c r="S1867" s="98"/>
    </row>
    <row r="1868" spans="1:19" ht="15" customHeight="1">
      <c r="A1868" s="196"/>
      <c r="B1868" s="56"/>
      <c r="C1868" s="1220" t="s">
        <v>4024</v>
      </c>
      <c r="D1868" s="1409"/>
      <c r="E1868" s="1743">
        <f>'Part IV-Uses of Funds'!$B$44</f>
        <v>15521357.279999999</v>
      </c>
      <c r="F1868" s="1743"/>
      <c r="G1868" s="54" t="s">
        <v>4025</v>
      </c>
      <c r="H1868" s="54"/>
      <c r="I1868" s="1765">
        <f ca="1">'Part IV-Uses of Funds'!$G$131</f>
        <v>25231313.324578471</v>
      </c>
      <c r="J1868" s="144" t="s">
        <v>4026</v>
      </c>
      <c r="K1868" s="144"/>
      <c r="L1868" s="1763">
        <f ca="1">IF(I1868=0, 0,E1868/I1868)</f>
        <v>0.61516248006322549</v>
      </c>
      <c r="M1868" s="847"/>
      <c r="N1868" s="847"/>
      <c r="O1868" s="847"/>
      <c r="P1868" s="847"/>
      <c r="Q1868" s="573"/>
      <c r="R1868" s="56"/>
      <c r="S1868" s="56"/>
    </row>
    <row r="1869" spans="1:19" ht="15" customHeight="1">
      <c r="A1869" s="781" t="s">
        <v>3560</v>
      </c>
      <c r="B1869" s="1162"/>
      <c r="C1869" s="1221" t="s">
        <v>3616</v>
      </c>
      <c r="D1869" s="1221"/>
      <c r="E1869" s="1221"/>
      <c r="F1869" s="1221"/>
      <c r="G1869" s="1221"/>
      <c r="H1869" s="1221"/>
      <c r="I1869" s="1221"/>
      <c r="J1869" s="1221"/>
      <c r="K1869" s="1221"/>
      <c r="L1869" s="1221"/>
      <c r="M1869" s="791">
        <v>2</v>
      </c>
      <c r="N1869" s="614"/>
      <c r="O1869" s="3">
        <f>'Part IX A-Scoring Criteria'!O352</f>
        <v>0</v>
      </c>
      <c r="P1869" s="3">
        <f>'Part IX A-Scoring Criteria'!P352</f>
        <v>0</v>
      </c>
      <c r="Q1869" s="1681" t="s">
        <v>2811</v>
      </c>
      <c r="R1869" s="1162"/>
      <c r="S1869" s="1162"/>
    </row>
    <row r="1870" spans="1:19" ht="15" customHeight="1">
      <c r="A1870" s="781" t="s">
        <v>640</v>
      </c>
      <c r="B1870" s="1162"/>
      <c r="C1870" s="1221" t="s">
        <v>3706</v>
      </c>
      <c r="D1870" s="1221"/>
      <c r="E1870" s="1221"/>
      <c r="F1870" s="1221"/>
      <c r="G1870" s="1221"/>
      <c r="H1870" s="1221"/>
      <c r="I1870" s="1221"/>
      <c r="J1870" s="1221"/>
      <c r="K1870" s="1221"/>
      <c r="L1870" s="1221"/>
      <c r="M1870" s="791">
        <v>2</v>
      </c>
      <c r="N1870" s="614"/>
      <c r="O1870" s="3">
        <f>'Part IX A-Scoring Criteria'!O353</f>
        <v>0</v>
      </c>
      <c r="P1870" s="3">
        <f>'Part IX A-Scoring Criteria'!P353</f>
        <v>0</v>
      </c>
      <c r="Q1870" s="1681" t="s">
        <v>2811</v>
      </c>
      <c r="R1870" s="1162"/>
      <c r="S1870" s="1162"/>
    </row>
    <row r="1871" spans="1:19" ht="15" customHeight="1">
      <c r="A1871" s="781" t="s">
        <v>3561</v>
      </c>
      <c r="B1871" s="1162"/>
      <c r="C1871" s="1221" t="s">
        <v>3617</v>
      </c>
      <c r="D1871" s="1221"/>
      <c r="E1871" s="1221"/>
      <c r="F1871" s="1221"/>
      <c r="G1871" s="1221"/>
      <c r="H1871" s="1221"/>
      <c r="I1871" s="1221"/>
      <c r="J1871" s="1221"/>
      <c r="K1871" s="1221"/>
      <c r="L1871" s="1221"/>
      <c r="M1871" s="791">
        <v>1</v>
      </c>
      <c r="N1871" s="614"/>
      <c r="O1871" s="3">
        <f>'Part IX A-Scoring Criteria'!O354</f>
        <v>0</v>
      </c>
      <c r="P1871" s="3">
        <f>'Part IX A-Scoring Criteria'!P354</f>
        <v>0</v>
      </c>
      <c r="Q1871" s="1681" t="s">
        <v>2811</v>
      </c>
      <c r="R1871" s="1162"/>
      <c r="S1871" s="1162"/>
    </row>
    <row r="1872" spans="1:19" ht="22.5" customHeight="1">
      <c r="A1872" s="781" t="s">
        <v>4027</v>
      </c>
      <c r="B1872" s="1162"/>
      <c r="C1872" s="1221" t="s">
        <v>4028</v>
      </c>
      <c r="D1872" s="1221"/>
      <c r="E1872" s="1221"/>
      <c r="F1872" s="1221"/>
      <c r="G1872" s="1221"/>
      <c r="H1872" s="1221"/>
      <c r="I1872" s="1221"/>
      <c r="J1872" s="1221"/>
      <c r="K1872" s="1221" t="s">
        <v>4029</v>
      </c>
      <c r="L1872" s="1765">
        <f>'Part IV-Uses of Funds'!$G$127</f>
        <v>238990</v>
      </c>
      <c r="M1872" s="791">
        <v>1</v>
      </c>
      <c r="N1872" s="791"/>
      <c r="O1872" s="3">
        <f>'Part IX A-Scoring Criteria'!O355</f>
        <v>0</v>
      </c>
      <c r="P1872" s="3">
        <f>'Part IX A-Scoring Criteria'!P355</f>
        <v>0</v>
      </c>
      <c r="Q1872" s="1681" t="s">
        <v>2811</v>
      </c>
      <c r="R1872" s="1162"/>
      <c r="S1872" s="1162"/>
    </row>
    <row r="1873" spans="1:19" ht="22.5">
      <c r="A1873" s="781"/>
      <c r="B1873" s="1162"/>
      <c r="C1873" s="1221"/>
      <c r="D1873" s="1221"/>
      <c r="E1873" s="1221"/>
      <c r="F1873" s="1221"/>
      <c r="G1873" s="1221"/>
      <c r="H1873" s="1221"/>
      <c r="I1873" s="1221"/>
      <c r="J1873" s="1221"/>
      <c r="K1873" s="1221" t="s">
        <v>4030</v>
      </c>
      <c r="L1873" s="1765">
        <f>'Part IV-Uses of Funds'!$G$20</f>
        <v>0</v>
      </c>
      <c r="M1873" s="791"/>
      <c r="N1873" s="791"/>
      <c r="O1873" s="791"/>
      <c r="P1873" s="791"/>
      <c r="Q1873" s="1681"/>
      <c r="R1873" s="1162"/>
      <c r="S1873" s="1162"/>
    </row>
    <row r="1874" spans="1:19" ht="15">
      <c r="A1874" s="533"/>
      <c r="B1874" s="71" t="s">
        <v>267</v>
      </c>
      <c r="C1874" s="533"/>
      <c r="D1874" s="109"/>
      <c r="E1874" s="109"/>
      <c r="F1874" s="109"/>
      <c r="G1874" s="109"/>
      <c r="H1874" s="54"/>
      <c r="I1874" s="54"/>
      <c r="J1874" s="54"/>
      <c r="K1874" s="54"/>
      <c r="L1874" s="56"/>
      <c r="M1874" s="484"/>
      <c r="N1874" s="615"/>
      <c r="O1874" s="3"/>
      <c r="P1874" s="31"/>
      <c r="Q1874" s="56"/>
      <c r="R1874" s="56"/>
      <c r="S1874" s="56"/>
    </row>
    <row r="1875" spans="1:19" ht="15.75">
      <c r="A1875" s="1221">
        <f>'Part IX A-Scoring Criteria'!A358</f>
        <v>0</v>
      </c>
      <c r="B1875" s="1221"/>
      <c r="C1875" s="1221"/>
      <c r="D1875" s="1221"/>
      <c r="E1875" s="1221"/>
      <c r="F1875" s="1221"/>
      <c r="G1875" s="1221"/>
      <c r="H1875" s="1221"/>
      <c r="I1875" s="1221"/>
      <c r="J1875" s="1221"/>
      <c r="K1875" s="1221"/>
      <c r="L1875" s="1221"/>
      <c r="M1875" s="1221"/>
      <c r="N1875" s="1221"/>
      <c r="O1875" s="1221"/>
      <c r="P1875" s="1221"/>
      <c r="Q1875" s="1660" t="s">
        <v>1301</v>
      </c>
      <c r="R1875" s="56"/>
      <c r="S1875" s="56"/>
    </row>
    <row r="1876" spans="1:19" ht="15">
      <c r="A1876" s="533"/>
      <c r="B1876" s="71" t="s">
        <v>1937</v>
      </c>
      <c r="C1876" s="533"/>
      <c r="D1876" s="147"/>
      <c r="E1876" s="1400"/>
      <c r="F1876" s="1400"/>
      <c r="G1876" s="1400"/>
      <c r="H1876" s="1400"/>
      <c r="I1876" s="1400"/>
      <c r="J1876" s="1400"/>
      <c r="K1876" s="1400"/>
      <c r="L1876" s="1400"/>
      <c r="M1876" s="1400"/>
      <c r="N1876" s="1672"/>
      <c r="O1876" s="75"/>
      <c r="P1876" s="1190"/>
      <c r="Q1876" s="1669"/>
      <c r="R1876" s="56"/>
      <c r="S1876" s="56"/>
    </row>
    <row r="1877" spans="1:19" ht="15.75">
      <c r="A1877" s="1221">
        <f>'Part IX A-Scoring Criteria'!A360</f>
        <v>0</v>
      </c>
      <c r="B1877" s="1221"/>
      <c r="C1877" s="1221"/>
      <c r="D1877" s="1221"/>
      <c r="E1877" s="1221"/>
      <c r="F1877" s="1221"/>
      <c r="G1877" s="1221"/>
      <c r="H1877" s="1221"/>
      <c r="I1877" s="1221"/>
      <c r="J1877" s="1221"/>
      <c r="K1877" s="1221"/>
      <c r="L1877" s="1221"/>
      <c r="M1877" s="1221"/>
      <c r="N1877" s="1221"/>
      <c r="O1877" s="1221"/>
      <c r="P1877" s="1221"/>
      <c r="Q1877" s="1660" t="s">
        <v>1301</v>
      </c>
      <c r="R1877" s="56"/>
      <c r="S1877" s="56"/>
    </row>
    <row r="1878" spans="1:19" ht="15">
      <c r="A1878" s="533"/>
      <c r="B1878" s="56"/>
      <c r="C1878" s="1400"/>
      <c r="D1878" s="1400"/>
      <c r="E1878" s="1400"/>
      <c r="F1878" s="1400"/>
      <c r="G1878" s="1400"/>
      <c r="H1878" s="1400"/>
      <c r="I1878" s="1400"/>
      <c r="J1878" s="1400"/>
      <c r="K1878" s="1400"/>
      <c r="L1878" s="1400"/>
      <c r="M1878" s="1400"/>
      <c r="N1878" s="1672"/>
      <c r="O1878" s="75"/>
      <c r="P1878" s="1190"/>
      <c r="Q1878" s="56"/>
      <c r="R1878" s="56"/>
      <c r="S1878" s="56"/>
    </row>
    <row r="1879" spans="1:19" ht="15">
      <c r="A1879" s="166" t="s">
        <v>2963</v>
      </c>
      <c r="B1879" s="112" t="s">
        <v>3628</v>
      </c>
      <c r="C1879" s="56"/>
      <c r="D1879" s="124"/>
      <c r="E1879" s="124"/>
      <c r="F1879" s="124"/>
      <c r="G1879" s="124"/>
      <c r="H1879" s="124"/>
      <c r="I1879" s="124"/>
      <c r="J1879" s="124"/>
      <c r="K1879" s="124"/>
      <c r="L1879" s="124"/>
      <c r="M1879" s="1190">
        <v>2</v>
      </c>
      <c r="N1879" s="1673"/>
      <c r="O1879" s="3">
        <f>'Part IX A-Scoring Criteria'!O362</f>
        <v>0</v>
      </c>
      <c r="P1879" s="3">
        <f>'Part IX A-Scoring Criteria'!P362</f>
        <v>0</v>
      </c>
      <c r="Q1879" s="1190" t="s">
        <v>456</v>
      </c>
      <c r="R1879" s="573"/>
      <c r="S1879" s="56"/>
    </row>
    <row r="1880" spans="1:19" ht="15" customHeight="1">
      <c r="A1880" s="56"/>
      <c r="B1880" s="1616" t="s">
        <v>3630</v>
      </c>
      <c r="C1880" s="1616"/>
      <c r="D1880" s="1616"/>
      <c r="E1880" s="1616"/>
      <c r="F1880" s="1616"/>
      <c r="G1880" s="1616"/>
      <c r="H1880" s="1616"/>
      <c r="I1880" s="1616"/>
      <c r="J1880" s="1616"/>
      <c r="K1880" s="1616"/>
      <c r="L1880" s="1616"/>
      <c r="M1880" s="1616"/>
      <c r="N1880" s="1616"/>
      <c r="O1880" s="1218">
        <f>'Part IX A-Scoring Criteria'!O363</f>
        <v>0</v>
      </c>
      <c r="P1880" s="1218">
        <f>'Part IX A-Scoring Criteria'!P363</f>
        <v>0</v>
      </c>
      <c r="Q1880" s="56"/>
      <c r="R1880" s="1663"/>
      <c r="S1880" s="56"/>
    </row>
    <row r="1881" spans="1:19" ht="15">
      <c r="A1881" s="196"/>
      <c r="B1881" s="1616"/>
      <c r="C1881" s="1616"/>
      <c r="D1881" s="1616"/>
      <c r="E1881" s="1616"/>
      <c r="F1881" s="1616"/>
      <c r="G1881" s="1616"/>
      <c r="H1881" s="1616"/>
      <c r="I1881" s="1616"/>
      <c r="J1881" s="1616"/>
      <c r="K1881" s="1616"/>
      <c r="L1881" s="1616"/>
      <c r="M1881" s="1616"/>
      <c r="N1881" s="56"/>
      <c r="O1881" s="56"/>
      <c r="P1881" s="56"/>
      <c r="Q1881" s="56"/>
      <c r="R1881" s="1663"/>
      <c r="S1881" s="56"/>
    </row>
    <row r="1882" spans="1:19" ht="15" customHeight="1">
      <c r="A1882" s="196"/>
      <c r="B1882" s="1220" t="s">
        <v>4031</v>
      </c>
      <c r="C1882" s="56"/>
      <c r="D1882" s="56"/>
      <c r="E1882" s="56"/>
      <c r="F1882" s="54" t="s">
        <v>3625</v>
      </c>
      <c r="G1882" s="54"/>
      <c r="H1882" s="56"/>
      <c r="I1882" s="56"/>
      <c r="J1882" s="144">
        <f>'Part IX A-Scoring Criteria'!J365</f>
        <v>0</v>
      </c>
      <c r="K1882" s="144"/>
      <c r="L1882" s="144"/>
      <c r="M1882" s="144"/>
      <c r="N1882" s="144"/>
      <c r="O1882" s="684" t="s">
        <v>3723</v>
      </c>
      <c r="P1882" s="56"/>
      <c r="Q1882" s="56"/>
      <c r="R1882" s="56"/>
      <c r="S1882" s="56"/>
    </row>
    <row r="1883" spans="1:19" ht="15">
      <c r="A1883" s="196"/>
      <c r="B1883" s="56"/>
      <c r="C1883" s="1405"/>
      <c r="D1883" s="1405"/>
      <c r="E1883" s="1405"/>
      <c r="F1883" s="1663"/>
      <c r="G1883" s="56"/>
      <c r="H1883" s="1405"/>
      <c r="I1883" s="1405"/>
      <c r="J1883" s="1405"/>
      <c r="K1883" s="1405"/>
      <c r="L1883" s="1405"/>
      <c r="M1883" s="56"/>
      <c r="N1883" s="1616"/>
      <c r="O1883" s="684"/>
      <c r="P1883" s="1616"/>
      <c r="Q1883" s="56"/>
      <c r="R1883" s="56"/>
      <c r="S1883" s="56"/>
    </row>
    <row r="1884" spans="1:19" ht="15" customHeight="1">
      <c r="A1884" s="196"/>
      <c r="B1884" s="56"/>
      <c r="C1884" s="1405"/>
      <c r="D1884" s="1405"/>
      <c r="E1884" s="1405"/>
      <c r="F1884" s="467" t="s">
        <v>3052</v>
      </c>
      <c r="G1884" s="467"/>
      <c r="H1884" s="56"/>
      <c r="I1884" s="56"/>
      <c r="J1884" s="61" t="str">
        <f>'Part I-Project Information'!$H$67</f>
        <v>Elderly</v>
      </c>
      <c r="K1884" s="61"/>
      <c r="L1884" s="1405"/>
      <c r="M1884" s="684" t="s">
        <v>3901</v>
      </c>
      <c r="N1884" s="1616"/>
      <c r="O1884" s="684"/>
      <c r="P1884" s="1616"/>
      <c r="Q1884" s="56"/>
      <c r="R1884" s="56"/>
      <c r="S1884" s="56"/>
    </row>
    <row r="1885" spans="1:19" ht="15" customHeight="1">
      <c r="A1885" s="196"/>
      <c r="B1885" s="1510" t="s">
        <v>3626</v>
      </c>
      <c r="C1885" s="782"/>
      <c r="D1885" s="782"/>
      <c r="E1885" s="1405"/>
      <c r="F1885" s="1663"/>
      <c r="G1885" s="56"/>
      <c r="H1885" s="1405"/>
      <c r="I1885" s="1405"/>
      <c r="J1885" s="1405"/>
      <c r="K1885" s="1405"/>
      <c r="L1885" s="1405"/>
      <c r="M1885" s="684"/>
      <c r="N1885" s="1616"/>
      <c r="O1885" s="684"/>
      <c r="P1885" s="144" t="s">
        <v>3622</v>
      </c>
      <c r="Q1885" s="56"/>
      <c r="R1885" s="56"/>
      <c r="S1885" s="56"/>
    </row>
    <row r="1886" spans="1:19" ht="15">
      <c r="A1886" s="196"/>
      <c r="B1886" s="56"/>
      <c r="C1886" s="1403"/>
      <c r="D1886" s="56"/>
      <c r="E1886" s="56"/>
      <c r="F1886" s="1220" t="s">
        <v>3627</v>
      </c>
      <c r="G1886" s="56"/>
      <c r="H1886" s="1405"/>
      <c r="I1886" s="1144" t="s">
        <v>3621</v>
      </c>
      <c r="J1886" s="600" t="s">
        <v>3623</v>
      </c>
      <c r="K1886" s="1407" t="s">
        <v>3622</v>
      </c>
      <c r="L1886" s="1406" t="s">
        <v>3624</v>
      </c>
      <c r="M1886" s="684"/>
      <c r="N1886" s="847"/>
      <c r="O1886" s="684"/>
      <c r="P1886" s="144"/>
      <c r="Q1886" s="56"/>
      <c r="R1886" s="56"/>
      <c r="S1886" s="56"/>
    </row>
    <row r="1887" spans="1:19" ht="15">
      <c r="A1887" s="196"/>
      <c r="B1887" s="69" t="s">
        <v>2520</v>
      </c>
      <c r="C1887" s="782" t="s">
        <v>3620</v>
      </c>
      <c r="D1887" s="782"/>
      <c r="E1887" s="1405"/>
      <c r="F1887" s="144">
        <f>'Part IX A-Scoring Criteria'!F370</f>
        <v>0</v>
      </c>
      <c r="G1887" s="144"/>
      <c r="H1887" s="144"/>
      <c r="I1887" s="1408">
        <f>'Part IX A-Scoring Criteria'!I370</f>
        <v>0</v>
      </c>
      <c r="J1887" s="1408">
        <f>'Part IX A-Scoring Criteria'!J370</f>
        <v>0</v>
      </c>
      <c r="K1887" s="1766">
        <f>'Part IX A-Scoring Criteria'!K370</f>
        <v>0</v>
      </c>
      <c r="L1887" s="847">
        <v>78</v>
      </c>
      <c r="M1887" s="1406" t="str">
        <f>IF(K1887="","",IF(K1887&gt;=L1887,"Yes",IF(K1887&lt;L1887,"No","")))</f>
        <v>No</v>
      </c>
      <c r="N1887" s="847"/>
      <c r="O1887" s="1406" t="str">
        <f>IF(P1887="","",IF(P1887&gt;=L1887,"Yes",IF(P1887&lt;L1887,"No","")))</f>
        <v>No</v>
      </c>
      <c r="P1887" s="1766">
        <f>'Part IX A-Scoring Criteria'!P370</f>
        <v>0</v>
      </c>
      <c r="Q1887" s="54" t="s">
        <v>4125</v>
      </c>
      <c r="R1887" s="56"/>
      <c r="S1887" s="56"/>
    </row>
    <row r="1888" spans="1:19" ht="15">
      <c r="A1888" s="196"/>
      <c r="B1888" s="236" t="s">
        <v>2521</v>
      </c>
      <c r="C1888" s="782" t="s">
        <v>3618</v>
      </c>
      <c r="D1888" s="782"/>
      <c r="E1888" s="1405"/>
      <c r="F1888" s="144">
        <f>'Part IX A-Scoring Criteria'!F371</f>
        <v>0</v>
      </c>
      <c r="G1888" s="144"/>
      <c r="H1888" s="144"/>
      <c r="I1888" s="1408">
        <f>'Part IX A-Scoring Criteria'!I371</f>
        <v>0</v>
      </c>
      <c r="J1888" s="1408">
        <f>'Part IX A-Scoring Criteria'!J371</f>
        <v>0</v>
      </c>
      <c r="K1888" s="1766">
        <f>'Part IX A-Scoring Criteria'!K371</f>
        <v>0</v>
      </c>
      <c r="L1888" s="847">
        <v>75</v>
      </c>
      <c r="M1888" s="1406" t="str">
        <f>IF(K1888="","",IF(K1888&gt;=L1888,"Yes",IF(K1888&lt;L1888,"No","")))</f>
        <v>No</v>
      </c>
      <c r="N1888" s="847"/>
      <c r="O1888" s="1406" t="str">
        <f>IF(P1888="","",IF(P1888&gt;=L1888,"Yes",IF(P1888&lt;L1888,"No","")))</f>
        <v>No</v>
      </c>
      <c r="P1888" s="1766">
        <f>'Part IX A-Scoring Criteria'!P371</f>
        <v>0</v>
      </c>
      <c r="Q1888" s="54" t="s">
        <v>4125</v>
      </c>
      <c r="R1888" s="56"/>
      <c r="S1888" s="56"/>
    </row>
    <row r="1889" spans="1:19" ht="15">
      <c r="A1889" s="196"/>
      <c r="B1889" s="69" t="s">
        <v>2522</v>
      </c>
      <c r="C1889" s="782" t="s">
        <v>3619</v>
      </c>
      <c r="D1889" s="782"/>
      <c r="E1889" s="1405"/>
      <c r="F1889" s="144">
        <f>'Part IX A-Scoring Criteria'!F372</f>
        <v>0</v>
      </c>
      <c r="G1889" s="144"/>
      <c r="H1889" s="144"/>
      <c r="I1889" s="1408">
        <f>'Part IX A-Scoring Criteria'!I372</f>
        <v>0</v>
      </c>
      <c r="J1889" s="1408">
        <f>'Part IX A-Scoring Criteria'!J372</f>
        <v>0</v>
      </c>
      <c r="K1889" s="1766">
        <f>'Part IX A-Scoring Criteria'!K372</f>
        <v>0</v>
      </c>
      <c r="L1889" s="847">
        <v>72</v>
      </c>
      <c r="M1889" s="1406" t="str">
        <f>IF(K1889="","",IF(K1889&gt;=L1889,"Yes",IF(K1889&lt;L1889,"No","")))</f>
        <v>No</v>
      </c>
      <c r="N1889" s="847"/>
      <c r="O1889" s="1406" t="str">
        <f>IF(P1889="","",IF(P1889&gt;=L1889,"Yes",IF(P1889&lt;L1889,"No","")))</f>
        <v>No</v>
      </c>
      <c r="P1889" s="1766">
        <f>'Part IX A-Scoring Criteria'!P372</f>
        <v>0</v>
      </c>
      <c r="Q1889" s="54" t="s">
        <v>4125</v>
      </c>
      <c r="R1889" s="56"/>
      <c r="S1889" s="56"/>
    </row>
    <row r="1890" spans="1:19" ht="15">
      <c r="A1890" s="533"/>
      <c r="B1890" s="71" t="s">
        <v>267</v>
      </c>
      <c r="C1890" s="533"/>
      <c r="D1890" s="109"/>
      <c r="E1890" s="109"/>
      <c r="F1890" s="109"/>
      <c r="G1890" s="109"/>
      <c r="H1890" s="54"/>
      <c r="I1890" s="54"/>
      <c r="J1890" s="54"/>
      <c r="K1890" s="54"/>
      <c r="L1890" s="56"/>
      <c r="M1890" s="484"/>
      <c r="N1890" s="615"/>
      <c r="O1890" s="3"/>
      <c r="P1890" s="31"/>
      <c r="Q1890" s="56"/>
      <c r="R1890" s="56"/>
      <c r="S1890" s="56"/>
    </row>
    <row r="1891" spans="1:19" ht="15.75">
      <c r="A1891" s="1221">
        <f>'Part IX A-Scoring Criteria'!A374</f>
        <v>0</v>
      </c>
      <c r="B1891" s="1221"/>
      <c r="C1891" s="1221"/>
      <c r="D1891" s="1221"/>
      <c r="E1891" s="1221"/>
      <c r="F1891" s="1221"/>
      <c r="G1891" s="1221"/>
      <c r="H1891" s="1221"/>
      <c r="I1891" s="1221"/>
      <c r="J1891" s="1221"/>
      <c r="K1891" s="1221"/>
      <c r="L1891" s="1221"/>
      <c r="M1891" s="1221"/>
      <c r="N1891" s="1221"/>
      <c r="O1891" s="1221"/>
      <c r="P1891" s="1221"/>
      <c r="Q1891" s="1660" t="s">
        <v>1301</v>
      </c>
      <c r="R1891" s="56"/>
      <c r="S1891" s="56"/>
    </row>
    <row r="1892" spans="1:19" ht="15">
      <c r="A1892" s="533"/>
      <c r="B1892" s="71" t="s">
        <v>1937</v>
      </c>
      <c r="C1892" s="533"/>
      <c r="D1892" s="147"/>
      <c r="E1892" s="1400"/>
      <c r="F1892" s="1400"/>
      <c r="G1892" s="1400"/>
      <c r="H1892" s="1400"/>
      <c r="I1892" s="1400"/>
      <c r="J1892" s="1400"/>
      <c r="K1892" s="1400"/>
      <c r="L1892" s="1400"/>
      <c r="M1892" s="1400"/>
      <c r="N1892" s="1672"/>
      <c r="O1892" s="75"/>
      <c r="P1892" s="1190"/>
      <c r="Q1892" s="1669"/>
      <c r="R1892" s="56"/>
      <c r="S1892" s="56"/>
    </row>
    <row r="1893" spans="1:19" ht="15.75">
      <c r="A1893" s="1221">
        <f>'Part IX A-Scoring Criteria'!A376</f>
        <v>0</v>
      </c>
      <c r="B1893" s="1221"/>
      <c r="C1893" s="1221"/>
      <c r="D1893" s="1221"/>
      <c r="E1893" s="1221"/>
      <c r="F1893" s="1221"/>
      <c r="G1893" s="1221"/>
      <c r="H1893" s="1221"/>
      <c r="I1893" s="1221"/>
      <c r="J1893" s="1221"/>
      <c r="K1893" s="1221"/>
      <c r="L1893" s="1221"/>
      <c r="M1893" s="1221"/>
      <c r="N1893" s="1221"/>
      <c r="O1893" s="1221"/>
      <c r="P1893" s="1221"/>
      <c r="Q1893" s="1660" t="s">
        <v>1301</v>
      </c>
      <c r="R1893" s="56"/>
      <c r="S1893" s="56"/>
    </row>
    <row r="1894" spans="1:19" ht="15">
      <c r="A1894" s="533"/>
      <c r="B1894" s="56"/>
      <c r="C1894" s="1400"/>
      <c r="D1894" s="1400"/>
      <c r="E1894" s="1400"/>
      <c r="F1894" s="1400"/>
      <c r="G1894" s="1400"/>
      <c r="H1894" s="1400"/>
      <c r="I1894" s="1400"/>
      <c r="J1894" s="1400"/>
      <c r="K1894" s="1400"/>
      <c r="L1894" s="1400"/>
      <c r="M1894" s="1400"/>
      <c r="N1894" s="1672"/>
      <c r="O1894" s="75"/>
      <c r="P1894" s="1190"/>
      <c r="Q1894" s="56"/>
      <c r="R1894" s="56"/>
      <c r="S1894" s="56"/>
    </row>
    <row r="1895" spans="1:19" ht="15">
      <c r="A1895" s="166" t="s">
        <v>2966</v>
      </c>
      <c r="B1895" s="112" t="s">
        <v>2965</v>
      </c>
      <c r="C1895" s="56"/>
      <c r="D1895" s="124"/>
      <c r="E1895" s="124"/>
      <c r="F1895" s="124"/>
      <c r="G1895" s="1407" t="s">
        <v>4032</v>
      </c>
      <c r="H1895" s="124"/>
      <c r="I1895" s="56"/>
      <c r="J1895" s="56"/>
      <c r="K1895" s="56"/>
      <c r="L1895" s="56"/>
      <c r="M1895" s="1190">
        <v>2</v>
      </c>
      <c r="N1895" s="1673"/>
      <c r="O1895" s="3">
        <f>'Part IX A-Scoring Criteria'!O378</f>
        <v>0</v>
      </c>
      <c r="P1895" s="3">
        <f>'Part IX A-Scoring Criteria'!P378</f>
        <v>0</v>
      </c>
      <c r="Q1895" s="1190" t="s">
        <v>456</v>
      </c>
      <c r="R1895" s="54" t="s">
        <v>2811</v>
      </c>
      <c r="S1895" s="56"/>
    </row>
    <row r="1896" spans="1:19">
      <c r="A1896" s="467"/>
      <c r="B1896" s="467"/>
      <c r="C1896" s="467"/>
      <c r="D1896" s="467"/>
      <c r="E1896" s="467"/>
      <c r="F1896" s="467"/>
      <c r="G1896" s="467"/>
      <c r="H1896" s="467"/>
      <c r="I1896" s="467"/>
      <c r="J1896" s="467"/>
      <c r="K1896" s="467"/>
      <c r="L1896" s="467"/>
      <c r="M1896" s="467"/>
      <c r="N1896" s="467"/>
      <c r="O1896" s="467"/>
      <c r="P1896" s="467"/>
      <c r="Q1896" s="467"/>
      <c r="R1896" s="1767"/>
      <c r="S1896" s="467"/>
    </row>
    <row r="1897" spans="1:19">
      <c r="A1897" s="467"/>
      <c r="B1897" s="196" t="s">
        <v>2058</v>
      </c>
      <c r="C1897" s="54" t="s">
        <v>4039</v>
      </c>
      <c r="D1897" s="467"/>
      <c r="E1897" s="467"/>
      <c r="F1897" s="467"/>
      <c r="G1897" s="467"/>
      <c r="H1897" s="467"/>
      <c r="I1897" s="467"/>
      <c r="J1897" s="467"/>
      <c r="K1897" s="467"/>
      <c r="L1897" s="467"/>
      <c r="M1897" s="600">
        <v>2</v>
      </c>
      <c r="N1897" s="467"/>
      <c r="O1897" s="467"/>
      <c r="P1897" s="467"/>
      <c r="Q1897" s="467"/>
      <c r="R1897" s="1767"/>
      <c r="S1897" s="467"/>
    </row>
    <row r="1898" spans="1:19">
      <c r="A1898" s="467"/>
      <c r="B1898" s="196" t="s">
        <v>2061</v>
      </c>
      <c r="C1898" s="54" t="s">
        <v>4040</v>
      </c>
      <c r="D1898" s="467"/>
      <c r="E1898" s="467"/>
      <c r="F1898" s="467"/>
      <c r="G1898" s="467"/>
      <c r="H1898" s="467"/>
      <c r="I1898" s="467"/>
      <c r="J1898" s="467"/>
      <c r="K1898" s="467"/>
      <c r="L1898" s="467"/>
      <c r="M1898" s="600">
        <v>1</v>
      </c>
      <c r="N1898" s="467"/>
      <c r="O1898" s="467"/>
      <c r="P1898" s="467"/>
      <c r="Q1898" s="467"/>
      <c r="R1898" s="1767"/>
      <c r="S1898" s="467"/>
    </row>
    <row r="1899" spans="1:19">
      <c r="A1899" s="467"/>
      <c r="B1899" s="467"/>
      <c r="C1899" s="467"/>
      <c r="D1899" s="234"/>
      <c r="E1899" s="234"/>
      <c r="F1899" s="234"/>
      <c r="G1899" s="234"/>
      <c r="H1899" s="234"/>
      <c r="I1899" s="234"/>
      <c r="J1899" s="234"/>
      <c r="K1899" s="234"/>
      <c r="L1899" s="234"/>
      <c r="M1899" s="234"/>
      <c r="N1899" s="467"/>
      <c r="O1899" s="467"/>
      <c r="P1899" s="467"/>
      <c r="Q1899" s="467"/>
      <c r="R1899" s="1767"/>
      <c r="S1899" s="467"/>
    </row>
    <row r="1900" spans="1:19" ht="12.75" customHeight="1">
      <c r="A1900" s="467"/>
      <c r="B1900" s="1768" t="s">
        <v>4033</v>
      </c>
      <c r="C1900" s="1768"/>
      <c r="D1900" s="1659" t="s">
        <v>2967</v>
      </c>
      <c r="E1900" s="1650" t="s">
        <v>3629</v>
      </c>
      <c r="F1900" s="1650"/>
      <c r="G1900" s="1650"/>
      <c r="H1900" s="1650"/>
      <c r="I1900" s="1650"/>
      <c r="J1900" s="1650"/>
      <c r="K1900" s="1650"/>
      <c r="L1900" s="1650"/>
      <c r="M1900" s="1659" t="s">
        <v>1659</v>
      </c>
      <c r="N1900" s="1650" t="s">
        <v>2687</v>
      </c>
      <c r="O1900" s="1650"/>
      <c r="P1900" s="467"/>
      <c r="Q1900" s="467"/>
      <c r="R1900" s="467"/>
      <c r="S1900" s="467"/>
    </row>
    <row r="1901" spans="1:19" ht="12.75" customHeight="1">
      <c r="A1901" s="67"/>
      <c r="B1901" s="1768"/>
      <c r="C1901" s="1768"/>
      <c r="D1901" s="1659" t="s">
        <v>1251</v>
      </c>
      <c r="E1901" s="1221" t="s">
        <v>2971</v>
      </c>
      <c r="F1901" s="1221"/>
      <c r="G1901" s="1221"/>
      <c r="H1901" s="1221"/>
      <c r="I1901" s="1221"/>
      <c r="J1901" s="1221"/>
      <c r="K1901" s="1221"/>
      <c r="L1901" s="1221"/>
      <c r="M1901" s="1659" t="s">
        <v>2701</v>
      </c>
      <c r="N1901" s="1650" t="s">
        <v>1326</v>
      </c>
      <c r="O1901" s="1650"/>
      <c r="P1901" s="467"/>
      <c r="Q1901" s="467"/>
      <c r="R1901" s="467"/>
      <c r="S1901" s="467"/>
    </row>
    <row r="1902" spans="1:19">
      <c r="A1902" s="67"/>
      <c r="B1902" s="1768"/>
      <c r="C1902" s="1768"/>
      <c r="D1902" s="1765">
        <v>20000</v>
      </c>
      <c r="E1902" s="1743">
        <v>15000</v>
      </c>
      <c r="F1902" s="1743"/>
      <c r="G1902" s="1743"/>
      <c r="H1902" s="1743"/>
      <c r="I1902" s="1743"/>
      <c r="J1902" s="1743"/>
      <c r="K1902" s="1743"/>
      <c r="L1902" s="1743"/>
      <c r="M1902" s="1765">
        <v>6000</v>
      </c>
      <c r="N1902" s="1743">
        <v>3000</v>
      </c>
      <c r="O1902" s="1743"/>
      <c r="P1902" s="467"/>
      <c r="Q1902" s="467"/>
      <c r="R1902" s="467"/>
      <c r="S1902" s="467"/>
    </row>
    <row r="1903" spans="1:19">
      <c r="A1903" s="67"/>
      <c r="B1903" s="67"/>
      <c r="C1903" s="467"/>
      <c r="D1903" s="467"/>
      <c r="E1903" s="467"/>
      <c r="F1903" s="467"/>
      <c r="G1903" s="467"/>
      <c r="H1903" s="467"/>
      <c r="I1903" s="600" t="s">
        <v>3911</v>
      </c>
      <c r="J1903" s="600" t="s">
        <v>3912</v>
      </c>
      <c r="K1903" s="1765"/>
      <c r="L1903" s="1765"/>
      <c r="M1903" s="1765"/>
      <c r="N1903" s="467"/>
      <c r="O1903" s="467"/>
      <c r="P1903" s="467"/>
      <c r="Q1903" s="467"/>
      <c r="R1903" s="1767"/>
      <c r="S1903" s="467"/>
    </row>
    <row r="1904" spans="1:19">
      <c r="A1904" s="467"/>
      <c r="B1904" s="467"/>
      <c r="C1904" s="1769" t="s">
        <v>4038</v>
      </c>
      <c r="D1904" s="1765"/>
      <c r="E1904" s="1765"/>
      <c r="F1904" s="1765"/>
      <c r="G1904" s="1765"/>
      <c r="H1904" s="1765"/>
      <c r="I1904" s="1765">
        <f>'Part IX A-Scoring Criteria'!I387</f>
        <v>0</v>
      </c>
      <c r="J1904" s="1765">
        <f>'Part IX A-Scoring Criteria'!J387</f>
        <v>0</v>
      </c>
      <c r="K1904" s="1768" t="str">
        <f>IF(J1905&lt;J1904,"Threshold not met!","")</f>
        <v/>
      </c>
      <c r="L1904" s="467" t="s">
        <v>2968</v>
      </c>
      <c r="M1904" s="61" t="str">
        <f>'Part I-Project Information'!$F$28</f>
        <v>Atlanta</v>
      </c>
      <c r="N1904" s="61"/>
      <c r="O1904" s="61"/>
      <c r="P1904" s="61"/>
      <c r="Q1904" s="467"/>
      <c r="R1904" s="467"/>
      <c r="S1904" s="467"/>
    </row>
    <row r="1905" spans="1:19" ht="13.5">
      <c r="A1905" s="1648"/>
      <c r="B1905" s="1648"/>
      <c r="C1905" s="1183" t="s">
        <v>4034</v>
      </c>
      <c r="D1905" s="467"/>
      <c r="E1905" s="467"/>
      <c r="F1905" s="467"/>
      <c r="G1905" s="467"/>
      <c r="H1905" s="1770" t="str">
        <f>IF(I1905&lt;I1904,"Threshold not met!","")</f>
        <v/>
      </c>
      <c r="I1905" s="1765">
        <f>'Part IX A-Scoring Criteria'!I388</f>
        <v>0</v>
      </c>
      <c r="J1905" s="1765">
        <f>'Part IX A-Scoring Criteria'!J388</f>
        <v>0</v>
      </c>
      <c r="K1905" s="1768"/>
      <c r="L1905" s="61" t="s">
        <v>2969</v>
      </c>
      <c r="M1905" s="61" t="str">
        <f>'Part I-Project Information'!$J$29</f>
        <v>Fulton</v>
      </c>
      <c r="N1905" s="61"/>
      <c r="O1905" s="61"/>
      <c r="P1905" s="61"/>
      <c r="Q1905" s="467"/>
      <c r="R1905" s="467"/>
      <c r="S1905" s="467"/>
    </row>
    <row r="1906" spans="1:19" ht="13.5">
      <c r="A1906" s="1648"/>
      <c r="B1906" s="1648"/>
      <c r="C1906" s="1183" t="s">
        <v>4174</v>
      </c>
      <c r="D1906" s="467"/>
      <c r="E1906" s="467"/>
      <c r="F1906" s="467"/>
      <c r="G1906" s="467"/>
      <c r="H1906" s="467"/>
      <c r="I1906" s="1765">
        <f>'Part IX A-Scoring Criteria'!I389</f>
        <v>0</v>
      </c>
      <c r="J1906" s="1765">
        <f>'Part IX A-Scoring Criteria'!J389</f>
        <v>0</v>
      </c>
      <c r="K1906" s="467"/>
      <c r="L1906" s="1183" t="s">
        <v>2970</v>
      </c>
      <c r="M1906" s="61" t="str">
        <f>'Part I-Project Information'!$O$30</f>
        <v>Atlanta-Sandy Springs-Marietta</v>
      </c>
      <c r="N1906" s="61"/>
      <c r="O1906" s="61"/>
      <c r="P1906" s="61"/>
      <c r="Q1906" s="467"/>
      <c r="R1906" s="467"/>
      <c r="S1906" s="467"/>
    </row>
    <row r="1907" spans="1:19">
      <c r="A1907" s="467"/>
      <c r="B1907" s="467"/>
      <c r="C1907" s="467"/>
      <c r="D1907" s="467"/>
      <c r="E1907" s="467"/>
      <c r="F1907" s="467"/>
      <c r="G1907" s="467"/>
      <c r="H1907" s="467"/>
      <c r="I1907" s="467"/>
      <c r="J1907" s="467"/>
      <c r="K1907" s="467"/>
      <c r="L1907" s="1183" t="s">
        <v>3053</v>
      </c>
      <c r="M1907" s="61" t="str">
        <f>VLOOKUP('Part I-Project Information'!$J$29,'DCA Underwriting Assumptions'!$G$141:$J$300,4)</f>
        <v>MSA</v>
      </c>
      <c r="N1907" s="61"/>
      <c r="O1907" s="61"/>
      <c r="P1907" s="61"/>
      <c r="Q1907" s="467"/>
      <c r="R1907" s="467"/>
      <c r="S1907" s="467"/>
    </row>
    <row r="1908" spans="1:19">
      <c r="A1908" s="467"/>
      <c r="B1908" s="467"/>
      <c r="C1908" s="1183" t="s">
        <v>4175</v>
      </c>
      <c r="D1908" s="467"/>
      <c r="E1908" s="467"/>
      <c r="F1908" s="467"/>
      <c r="G1908" s="467"/>
      <c r="H1908" s="467"/>
      <c r="I1908" s="1263">
        <f>IF(I1905=0,0,I1906/I1905)</f>
        <v>0</v>
      </c>
      <c r="J1908" s="1706">
        <f>IF(J1905=0,0,J1906/J1905)</f>
        <v>0</v>
      </c>
      <c r="K1908" s="467"/>
      <c r="L1908" s="467" t="s">
        <v>4035</v>
      </c>
      <c r="M1908" s="61" t="str">
        <f>'Part I-Project Information'!$K$30</f>
        <v>Urban</v>
      </c>
      <c r="N1908" s="61"/>
      <c r="O1908" s="61"/>
      <c r="P1908" s="61"/>
      <c r="Q1908" s="467"/>
      <c r="R1908" s="467"/>
      <c r="S1908" s="467"/>
    </row>
    <row r="1909" spans="1:19">
      <c r="A1909" s="67"/>
      <c r="B1909" s="1183"/>
      <c r="C1909" s="1183"/>
      <c r="D1909" s="600"/>
      <c r="E1909" s="600"/>
      <c r="F1909" s="67"/>
      <c r="G1909" s="67"/>
      <c r="H1909" s="67"/>
      <c r="I1909" s="67"/>
      <c r="J1909" s="67"/>
      <c r="K1909" s="67"/>
      <c r="L1909" s="467"/>
      <c r="M1909" s="467"/>
      <c r="N1909" s="467"/>
      <c r="O1909" s="467"/>
      <c r="P1909" s="467"/>
      <c r="Q1909" s="467"/>
      <c r="R1909" s="1767"/>
      <c r="S1909" s="467"/>
    </row>
    <row r="1910" spans="1:19" ht="15">
      <c r="A1910" s="533"/>
      <c r="B1910" s="71" t="s">
        <v>267</v>
      </c>
      <c r="C1910" s="533"/>
      <c r="D1910" s="109"/>
      <c r="E1910" s="109"/>
      <c r="F1910" s="109"/>
      <c r="G1910" s="109"/>
      <c r="H1910" s="54"/>
      <c r="I1910" s="54"/>
      <c r="J1910" s="54"/>
      <c r="K1910" s="54"/>
      <c r="L1910" s="56"/>
      <c r="M1910" s="484"/>
      <c r="N1910" s="615"/>
      <c r="O1910" s="3"/>
      <c r="P1910" s="31"/>
      <c r="Q1910" s="56"/>
      <c r="R1910" s="56"/>
      <c r="S1910" s="56"/>
    </row>
    <row r="1911" spans="1:19" ht="15.75">
      <c r="A1911" s="1221">
        <f>'Part IX A-Scoring Criteria'!A394</f>
        <v>0</v>
      </c>
      <c r="B1911" s="1221"/>
      <c r="C1911" s="1221"/>
      <c r="D1911" s="1221"/>
      <c r="E1911" s="1221"/>
      <c r="F1911" s="1221"/>
      <c r="G1911" s="1221"/>
      <c r="H1911" s="1221"/>
      <c r="I1911" s="1221"/>
      <c r="J1911" s="1221"/>
      <c r="K1911" s="1221"/>
      <c r="L1911" s="1221"/>
      <c r="M1911" s="1221"/>
      <c r="N1911" s="1221"/>
      <c r="O1911" s="1221"/>
      <c r="P1911" s="1221"/>
      <c r="Q1911" s="1660" t="s">
        <v>1301</v>
      </c>
      <c r="R1911" s="56"/>
      <c r="S1911" s="56"/>
    </row>
    <row r="1912" spans="1:19" ht="15">
      <c r="A1912" s="533"/>
      <c r="B1912" s="71" t="s">
        <v>1937</v>
      </c>
      <c r="C1912" s="533"/>
      <c r="D1912" s="147"/>
      <c r="E1912" s="1400"/>
      <c r="F1912" s="1400"/>
      <c r="G1912" s="1400"/>
      <c r="H1912" s="1400"/>
      <c r="I1912" s="1400"/>
      <c r="J1912" s="1400"/>
      <c r="K1912" s="1400"/>
      <c r="L1912" s="1400"/>
      <c r="M1912" s="1400"/>
      <c r="N1912" s="1672"/>
      <c r="O1912" s="75"/>
      <c r="P1912" s="1190"/>
      <c r="Q1912" s="1669"/>
      <c r="R1912" s="56"/>
      <c r="S1912" s="56"/>
    </row>
    <row r="1913" spans="1:19" ht="15.75">
      <c r="A1913" s="1221">
        <f>'Part IX A-Scoring Criteria'!A396</f>
        <v>0</v>
      </c>
      <c r="B1913" s="1221"/>
      <c r="C1913" s="1221"/>
      <c r="D1913" s="1221"/>
      <c r="E1913" s="1221"/>
      <c r="F1913" s="1221"/>
      <c r="G1913" s="1221"/>
      <c r="H1913" s="1221"/>
      <c r="I1913" s="1221"/>
      <c r="J1913" s="1221"/>
      <c r="K1913" s="1221"/>
      <c r="L1913" s="1221"/>
      <c r="M1913" s="1221"/>
      <c r="N1913" s="1221"/>
      <c r="O1913" s="1221"/>
      <c r="P1913" s="1221"/>
      <c r="Q1913" s="1660" t="s">
        <v>1301</v>
      </c>
      <c r="R1913" s="56"/>
      <c r="S1913" s="56"/>
    </row>
    <row r="1914" spans="1:19" ht="15">
      <c r="A1914" s="533"/>
      <c r="B1914" s="56"/>
      <c r="C1914" s="1400"/>
      <c r="D1914" s="1400"/>
      <c r="E1914" s="1400"/>
      <c r="F1914" s="1400"/>
      <c r="G1914" s="1400"/>
      <c r="H1914" s="1400"/>
      <c r="I1914" s="1400"/>
      <c r="J1914" s="1400"/>
      <c r="K1914" s="1400"/>
      <c r="L1914" s="1400"/>
      <c r="M1914" s="1400"/>
      <c r="N1914" s="1672"/>
      <c r="O1914" s="75"/>
      <c r="P1914" s="1190"/>
      <c r="Q1914" s="56"/>
      <c r="R1914" s="56"/>
      <c r="S1914" s="56"/>
    </row>
    <row r="1915" spans="1:19" ht="15">
      <c r="A1915" s="166" t="s">
        <v>2964</v>
      </c>
      <c r="B1915" s="112" t="s">
        <v>1737</v>
      </c>
      <c r="C1915" s="98"/>
      <c r="D1915" s="62"/>
      <c r="E1915" s="62"/>
      <c r="F1915" s="54"/>
      <c r="G1915" s="54"/>
      <c r="H1915" s="98"/>
      <c r="I1915" s="54"/>
      <c r="J1915" s="54"/>
      <c r="K1915" s="54"/>
      <c r="L1915" s="1663" t="str">
        <f>IF(OR($O1915=$M1915,$O1915&lt;=0,$O1915=""),"","* * Check Score! * *")</f>
        <v/>
      </c>
      <c r="M1915" s="1190">
        <v>10</v>
      </c>
      <c r="N1915" s="484"/>
      <c r="O1915" s="3">
        <f>'Part IX A-Scoring Criteria'!O398</f>
        <v>10</v>
      </c>
      <c r="P1915" s="3">
        <f>'Part IX A-Scoring Criteria'!P398</f>
        <v>10</v>
      </c>
      <c r="Q1915" s="1190" t="s">
        <v>456</v>
      </c>
      <c r="R1915" s="98"/>
      <c r="S1915" s="98"/>
    </row>
    <row r="1916" spans="1:19" ht="15">
      <c r="A1916" s="166"/>
      <c r="B1916" s="112"/>
      <c r="C1916" s="98"/>
      <c r="D1916" s="62"/>
      <c r="E1916" s="62"/>
      <c r="F1916" s="54"/>
      <c r="G1916" s="54"/>
      <c r="H1916" s="98"/>
      <c r="I1916" s="54"/>
      <c r="J1916" s="54"/>
      <c r="K1916" s="54"/>
      <c r="L1916" s="1663"/>
      <c r="M1916" s="1190"/>
      <c r="N1916" s="484"/>
      <c r="O1916" s="484"/>
      <c r="P1916" s="484"/>
      <c r="Q1916" s="1190"/>
      <c r="R1916" s="98"/>
      <c r="S1916" s="98"/>
    </row>
    <row r="1917" spans="1:19" ht="15">
      <c r="A1917" s="166"/>
      <c r="B1917" s="234" t="s">
        <v>4097</v>
      </c>
      <c r="C1917" s="98"/>
      <c r="D1917" s="62"/>
      <c r="E1917" s="62"/>
      <c r="F1917" s="54"/>
      <c r="G1917" s="54"/>
      <c r="H1917" s="98"/>
      <c r="I1917" s="54"/>
      <c r="J1917" s="54"/>
      <c r="K1917" s="54"/>
      <c r="L1917" s="1663"/>
      <c r="M1917" s="1190"/>
      <c r="N1917" s="484"/>
      <c r="O1917" s="3">
        <v>10</v>
      </c>
      <c r="P1917" s="3">
        <v>10</v>
      </c>
      <c r="Q1917" s="1190"/>
      <c r="R1917" s="98"/>
      <c r="S1917" s="98"/>
    </row>
    <row r="1918" spans="1:19" ht="15">
      <c r="A1918" s="166"/>
      <c r="B1918" s="234" t="s">
        <v>4098</v>
      </c>
      <c r="C1918" s="98"/>
      <c r="D1918" s="62"/>
      <c r="E1918" s="62"/>
      <c r="F1918" s="54"/>
      <c r="G1918" s="54"/>
      <c r="H1918" s="98"/>
      <c r="I1918" s="54"/>
      <c r="J1918" s="54"/>
      <c r="K1918" s="54"/>
      <c r="L1918" s="1663"/>
      <c r="M1918" s="1190"/>
      <c r="N1918" s="484"/>
      <c r="O1918" s="3">
        <f>'Part IX A-Scoring Criteria'!O401</f>
        <v>0</v>
      </c>
      <c r="P1918" s="3">
        <f>'Part IX A-Scoring Criteria'!P401</f>
        <v>0</v>
      </c>
      <c r="Q1918" s="1190"/>
      <c r="R1918" s="98"/>
      <c r="S1918" s="98"/>
    </row>
    <row r="1919" spans="1:19" ht="15">
      <c r="A1919" s="166"/>
      <c r="B1919" s="234" t="s">
        <v>4099</v>
      </c>
      <c r="C1919" s="98"/>
      <c r="D1919" s="62"/>
      <c r="E1919" s="62"/>
      <c r="F1919" s="54"/>
      <c r="G1919" s="54"/>
      <c r="H1919" s="98"/>
      <c r="I1919" s="54"/>
      <c r="J1919" s="54"/>
      <c r="K1919" s="54"/>
      <c r="L1919" s="1663"/>
      <c r="M1919" s="1190"/>
      <c r="N1919" s="484"/>
      <c r="O1919" s="3">
        <f>'Part IX A-Scoring Criteria'!O402</f>
        <v>0</v>
      </c>
      <c r="P1919" s="3">
        <f>'Part IX A-Scoring Criteria'!P402</f>
        <v>0</v>
      </c>
      <c r="Q1919" s="1190"/>
      <c r="R1919" s="98"/>
      <c r="S1919" s="98"/>
    </row>
    <row r="1920" spans="1:19" ht="15">
      <c r="A1920" s="166"/>
      <c r="B1920" s="1159"/>
      <c r="C1920" s="98"/>
      <c r="D1920" s="62"/>
      <c r="E1920" s="62"/>
      <c r="F1920" s="54"/>
      <c r="G1920" s="54"/>
      <c r="H1920" s="98"/>
      <c r="I1920" s="54"/>
      <c r="J1920" s="54"/>
      <c r="K1920" s="54"/>
      <c r="L1920" s="1663"/>
      <c r="M1920" s="1190"/>
      <c r="N1920" s="1190"/>
      <c r="O1920" s="1190"/>
      <c r="P1920" s="1190"/>
      <c r="Q1920" s="1190"/>
      <c r="R1920" s="98"/>
      <c r="S1920" s="98"/>
    </row>
    <row r="1921" spans="1:19">
      <c r="A1921" s="196" t="s">
        <v>2058</v>
      </c>
      <c r="B1921" s="1159" t="s">
        <v>1492</v>
      </c>
      <c r="D1921" s="533"/>
      <c r="E1921" s="533"/>
      <c r="F1921" s="533"/>
      <c r="G1921" s="533"/>
      <c r="H1921" s="533"/>
      <c r="I1921" s="533"/>
      <c r="J1921" s="533"/>
      <c r="K1921" s="533"/>
      <c r="L1921" s="533"/>
      <c r="M1921" s="484"/>
      <c r="N1921" s="69" t="s">
        <v>2058</v>
      </c>
      <c r="O1921" s="3">
        <f>'Part IX A-Scoring Criteria'!O404</f>
        <v>0</v>
      </c>
      <c r="P1921" s="3">
        <f>'Part IX A-Scoring Criteria'!P404</f>
        <v>0</v>
      </c>
      <c r="Q1921" s="573" t="s">
        <v>2811</v>
      </c>
    </row>
    <row r="1922" spans="1:19" ht="15">
      <c r="A1922" s="71"/>
      <c r="B1922" s="71" t="s">
        <v>1937</v>
      </c>
      <c r="C1922" s="533"/>
      <c r="D1922" s="71"/>
      <c r="E1922" s="1403"/>
      <c r="F1922" s="1403"/>
      <c r="G1922" s="1403"/>
      <c r="H1922" s="1403"/>
      <c r="I1922" s="1403"/>
      <c r="J1922" s="1403"/>
      <c r="K1922" s="1403"/>
      <c r="L1922" s="1403"/>
      <c r="M1922" s="1403"/>
      <c r="N1922" s="1631"/>
      <c r="O1922" s="1163"/>
      <c r="P1922" s="1190"/>
      <c r="Q1922" s="98"/>
      <c r="R1922" s="98"/>
      <c r="S1922" s="98"/>
    </row>
    <row r="1923" spans="1:19" ht="15.75">
      <c r="A1923" s="1221">
        <f>'Part IX A-Scoring Criteria'!A406</f>
        <v>0</v>
      </c>
      <c r="B1923" s="1221"/>
      <c r="C1923" s="1221"/>
      <c r="D1923" s="1221"/>
      <c r="E1923" s="1221"/>
      <c r="F1923" s="1221"/>
      <c r="G1923" s="1221"/>
      <c r="H1923" s="1221"/>
      <c r="I1923" s="1221"/>
      <c r="J1923" s="1221"/>
      <c r="K1923" s="1221"/>
      <c r="L1923" s="1221"/>
      <c r="M1923" s="1221"/>
      <c r="N1923" s="1221"/>
      <c r="O1923" s="1221"/>
      <c r="P1923" s="1221"/>
      <c r="Q1923" s="1660" t="s">
        <v>1301</v>
      </c>
      <c r="R1923" s="1660"/>
      <c r="S1923" s="56"/>
    </row>
    <row r="1924" spans="1:19" ht="15">
      <c r="A1924" s="533"/>
      <c r="B1924" s="533"/>
      <c r="C1924" s="1400"/>
      <c r="D1924" s="1400"/>
      <c r="E1924" s="1400"/>
      <c r="F1924" s="1400"/>
      <c r="G1924" s="1400"/>
      <c r="H1924" s="1400"/>
      <c r="I1924" s="1400"/>
      <c r="J1924" s="1400"/>
      <c r="K1924" s="1400"/>
      <c r="L1924" s="1645" t="s">
        <v>4164</v>
      </c>
      <c r="M1924" s="1400"/>
      <c r="N1924" s="1672"/>
      <c r="O1924" s="1771">
        <f ca="1">'Part IX A-Scoring Criteria'!O408</f>
        <v>22</v>
      </c>
      <c r="P1924" s="1771">
        <f ca="1">'Part IX A-Scoring Criteria'!P408</f>
        <v>22</v>
      </c>
      <c r="Q1924" s="56"/>
      <c r="R1924" s="56"/>
      <c r="S1924" s="56"/>
    </row>
    <row r="1925" spans="1:19" ht="15">
      <c r="A1925" s="351"/>
      <c r="B1925" s="72"/>
      <c r="C1925" s="533"/>
      <c r="F1925" s="56"/>
      <c r="G1925" s="56"/>
      <c r="H1925" s="1772" t="s">
        <v>441</v>
      </c>
      <c r="I1925" s="1653"/>
      <c r="J1925" s="1653"/>
      <c r="K1925" s="1653"/>
      <c r="L1925" s="98"/>
      <c r="M1925" s="498">
        <f>M1525+M1546+M1560+M1573+M1596+M1603+M1630+M1646+M1689+M1712+M1723+M1731+M1739+M1752+M1766+M1805+M1818+M1831+M1847+M1879+M1895+M1915</f>
        <v>103</v>
      </c>
      <c r="N1925" s="1773"/>
      <c r="O1925" s="498">
        <f ca="1">O1525+O1546+O1560+O1573+O1596+O1603+O1630+O1646+O1689+O1712+O1723+O1739+O1752+O1766+O1818+O1831+O1879+O1895+O1915</f>
        <v>22</v>
      </c>
      <c r="P1925" s="498">
        <f ca="1">P1525+P1546+P1560+P1573+P1596+P1603+P1630+P1646+P1689+P1712+P1723+P1731+P1739+P1752+P1766+P1805+P1818+P1831+P1847+P1879+P1895+P1915</f>
        <v>22</v>
      </c>
      <c r="Q1925" s="533"/>
      <c r="R1925" s="533"/>
      <c r="S1925" s="533"/>
    </row>
    <row r="1926" spans="1:19" ht="15.75">
      <c r="A1926" s="56"/>
      <c r="B1926" s="72"/>
      <c r="C1926" s="56"/>
      <c r="F1926" s="1654"/>
      <c r="G1926" s="1654"/>
      <c r="H1926" s="1159"/>
      <c r="I1926" s="1159" t="s">
        <v>3058</v>
      </c>
      <c r="J1926" s="1530"/>
      <c r="K1926" s="1530"/>
      <c r="L1926" s="56"/>
      <c r="N1926" s="1190"/>
      <c r="O1926" s="1704"/>
      <c r="P1926" s="1704">
        <f>P1731</f>
        <v>0</v>
      </c>
      <c r="Q1926" s="533"/>
      <c r="R1926" s="533"/>
      <c r="S1926" s="533"/>
    </row>
    <row r="1927" spans="1:19" ht="15.75">
      <c r="A1927" s="56"/>
      <c r="B1927" s="72"/>
      <c r="C1927" s="56"/>
      <c r="F1927" s="1654"/>
      <c r="G1927" s="1654"/>
      <c r="H1927" s="533"/>
      <c r="I1927" s="1159" t="s">
        <v>3059</v>
      </c>
      <c r="J1927" s="1530"/>
      <c r="K1927" s="1530"/>
      <c r="L1927" s="56"/>
      <c r="N1927" s="1190"/>
      <c r="O1927" s="1190"/>
      <c r="P1927" s="1704">
        <f>P1805</f>
        <v>0</v>
      </c>
      <c r="Q1927" s="533"/>
      <c r="R1927" s="533"/>
      <c r="S1927" s="533"/>
    </row>
    <row r="1928" spans="1:19" ht="15">
      <c r="A1928" s="533"/>
      <c r="B1928" s="533"/>
      <c r="C1928" s="1400"/>
      <c r="D1928" s="1400"/>
      <c r="E1928" s="1400"/>
      <c r="F1928" s="1400"/>
      <c r="G1928" s="1400"/>
      <c r="H1928" s="56"/>
      <c r="I1928" s="1159" t="s">
        <v>3060</v>
      </c>
      <c r="J1928" s="1400"/>
      <c r="K1928" s="1400"/>
      <c r="L1928" s="1400"/>
      <c r="M1928" s="1400"/>
      <c r="N1928" s="1672"/>
      <c r="O1928" s="75"/>
      <c r="P1928" s="1704">
        <f>P1847</f>
        <v>0</v>
      </c>
      <c r="Q1928" s="56"/>
      <c r="R1928" s="56"/>
      <c r="S1928" s="56"/>
    </row>
    <row r="1929" spans="1:19" ht="15">
      <c r="A1929" s="533"/>
      <c r="B1929" s="56"/>
      <c r="C1929" s="56"/>
      <c r="D1929" s="54"/>
      <c r="E1929" s="54"/>
      <c r="F1929" s="1190"/>
      <c r="G1929" s="1190"/>
      <c r="H1929" s="10" t="s">
        <v>3061</v>
      </c>
      <c r="I1929" s="1190"/>
      <c r="J1929" s="1220"/>
      <c r="K1929" s="1220"/>
      <c r="L1929" s="1220"/>
      <c r="M1929" s="1407"/>
      <c r="N1929" s="1190"/>
      <c r="O1929" s="31"/>
      <c r="P1929" s="1704">
        <f ca="1">P1925-P1926-P1927-P1928</f>
        <v>22</v>
      </c>
      <c r="Q1929" s="56"/>
      <c r="R1929" s="56"/>
      <c r="S1929" s="56"/>
    </row>
    <row r="1930" spans="1:19" ht="15.75">
      <c r="A1930" s="56"/>
      <c r="B1930" s="72"/>
      <c r="C1930" s="56"/>
      <c r="F1930" s="1220"/>
      <c r="G1930" s="1220"/>
      <c r="H1930" s="1654"/>
      <c r="I1930" s="1654"/>
      <c r="J1930" s="1530"/>
      <c r="K1930" s="1530"/>
      <c r="L1930" s="56"/>
      <c r="N1930" s="1190"/>
      <c r="O1930" s="1190"/>
      <c r="P1930" s="3"/>
    </row>
    <row r="1931" spans="1:19" ht="15" customHeight="1">
      <c r="A1931" s="1774" t="s">
        <v>4145</v>
      </c>
      <c r="B1931" s="1774"/>
      <c r="C1931" s="1774"/>
      <c r="D1931" s="1774"/>
      <c r="E1931" s="1774"/>
      <c r="F1931" s="1774"/>
      <c r="G1931" s="1774"/>
      <c r="H1931" s="1774"/>
      <c r="I1931" s="1774"/>
      <c r="J1931" s="1774"/>
      <c r="K1931" s="1774"/>
      <c r="L1931" s="1774"/>
      <c r="M1931" s="1774"/>
      <c r="N1931" s="1774"/>
      <c r="O1931" s="1774"/>
      <c r="P1931" s="1774"/>
      <c r="Q1931" s="56"/>
      <c r="R1931" s="56"/>
      <c r="S1931" s="56"/>
    </row>
    <row r="1932" spans="1:19" ht="146.25">
      <c r="A1932" s="1221" t="str">
        <f>'Part IX A-Scoring Criteria'!A415</f>
        <v xml:space="preserve">The applicant is requesting a 4% bond allocation; consequently, the scoring components of the application are not applicable. </v>
      </c>
      <c r="B1932" s="1221"/>
      <c r="C1932" s="1221"/>
      <c r="D1932" s="1221"/>
      <c r="E1932" s="1221"/>
      <c r="F1932" s="1221"/>
      <c r="G1932" s="1221"/>
      <c r="H1932" s="1221"/>
      <c r="I1932" s="1221"/>
      <c r="J1932" s="1221"/>
      <c r="K1932" s="1221"/>
      <c r="L1932" s="1221"/>
      <c r="M1932" s="1221"/>
      <c r="N1932" s="1221"/>
      <c r="O1932" s="1221"/>
      <c r="P1932" s="1221"/>
      <c r="Q1932" s="1660" t="s">
        <v>1301</v>
      </c>
      <c r="R1932" s="1660"/>
      <c r="S1932" s="56"/>
    </row>
    <row r="1936" spans="1:19" ht="15.75">
      <c r="A1936" s="1775" t="s">
        <v>4176</v>
      </c>
      <c r="B1936" s="158"/>
      <c r="C1936" s="158"/>
      <c r="D1936" s="158"/>
      <c r="E1936" s="158"/>
      <c r="F1936" s="158"/>
    </row>
    <row r="1937" spans="1:6" ht="16.5">
      <c r="A1937" s="1776" t="str">
        <f>'Part I-Project Information'!$F$24</f>
        <v>Wheat Street Tower</v>
      </c>
      <c r="B1937" s="100"/>
      <c r="C1937" s="100"/>
      <c r="D1937" s="100"/>
      <c r="E1937" s="100"/>
      <c r="F1937" s="100"/>
    </row>
    <row r="1938" spans="1:6" ht="16.5">
      <c r="A1938" s="1776" t="str">
        <f>CONCATENATE('Part I-Project Information'!$F$28,", ", 'Part I-Project Information'!$J$29," County")</f>
        <v>Atlanta, Fulton County</v>
      </c>
      <c r="B1938" s="100"/>
      <c r="C1938" s="100"/>
      <c r="D1938" s="100"/>
      <c r="E1938" s="100"/>
      <c r="F1938" s="100"/>
    </row>
    <row r="1939" spans="1:6">
      <c r="A1939" s="158"/>
      <c r="B1939" s="158"/>
      <c r="C1939" s="158"/>
      <c r="D1939" s="158"/>
      <c r="E1939" s="158"/>
      <c r="F1939" s="158"/>
    </row>
    <row r="1940" spans="1:6" ht="12.75" customHeight="1">
      <c r="A1940" s="817" t="str">
        <f>'Pt IX B-GICH Project Narrative'!A5</f>
        <v>&lt;&lt; Enter paragraph(s) here. Press and hold Alt-Enter to start new paragraphs. &gt;&gt;</v>
      </c>
      <c r="B1940" s="1516" t="s">
        <v>2793</v>
      </c>
      <c r="C1940" s="1777"/>
      <c r="D1940" s="1777"/>
      <c r="E1940" s="1777"/>
      <c r="F1940" s="1777"/>
    </row>
    <row r="1941" spans="1:6" ht="12.75" customHeight="1">
      <c r="A1941" s="817"/>
      <c r="B1941" s="1516"/>
      <c r="C1941" s="1777"/>
      <c r="D1941" s="1777"/>
      <c r="E1941" s="1777"/>
      <c r="F1941" s="1777"/>
    </row>
    <row r="1942" spans="1:6">
      <c r="A1942" s="817"/>
      <c r="B1942" s="158"/>
      <c r="C1942" s="1778"/>
      <c r="D1942" s="158"/>
      <c r="E1942" s="158"/>
      <c r="F1942" s="158"/>
    </row>
    <row r="1943" spans="1:6">
      <c r="A1943" s="817"/>
      <c r="B1943" s="158"/>
      <c r="C1943" s="158"/>
      <c r="D1943" s="158"/>
      <c r="E1943" s="158"/>
      <c r="F1943" s="158"/>
    </row>
    <row r="1944" spans="1:6">
      <c r="A1944" s="817"/>
      <c r="B1944" s="158"/>
      <c r="C1944" s="158"/>
      <c r="D1944" s="158"/>
      <c r="E1944" s="158"/>
      <c r="F1944" s="158"/>
    </row>
    <row r="1945" spans="1:6" ht="12.75" customHeight="1">
      <c r="A1945" s="817"/>
      <c r="B1945" s="158"/>
      <c r="C1945" s="158"/>
      <c r="D1945" s="158"/>
      <c r="E1945" s="158"/>
      <c r="F1945" s="158"/>
    </row>
    <row r="1946" spans="1:6">
      <c r="A1946" s="817"/>
      <c r="B1946" s="158"/>
      <c r="C1946" s="158"/>
      <c r="D1946" s="158"/>
      <c r="E1946" s="158"/>
      <c r="F1946" s="158"/>
    </row>
    <row r="1947" spans="1:6">
      <c r="A1947" s="817"/>
      <c r="B1947" s="158"/>
      <c r="C1947" s="158"/>
      <c r="D1947" s="158"/>
      <c r="E1947" s="158"/>
      <c r="F1947" s="158"/>
    </row>
    <row r="1948" spans="1:6">
      <c r="A1948" s="817"/>
      <c r="B1948" s="158"/>
      <c r="C1948" s="158"/>
      <c r="D1948" s="158"/>
      <c r="E1948" s="158"/>
      <c r="F1948" s="158"/>
    </row>
    <row r="1949" spans="1:6">
      <c r="A1949" s="817"/>
      <c r="B1949" s="158"/>
      <c r="C1949" s="158"/>
      <c r="D1949" s="158"/>
      <c r="E1949" s="158"/>
      <c r="F1949" s="158"/>
    </row>
    <row r="1950" spans="1:6">
      <c r="A1950" s="817"/>
      <c r="B1950" s="158"/>
      <c r="C1950" s="158"/>
      <c r="D1950" s="158"/>
      <c r="E1950" s="158"/>
      <c r="F1950" s="158"/>
    </row>
    <row r="1951" spans="1:6">
      <c r="A1951" s="817"/>
      <c r="B1951" s="158"/>
      <c r="C1951" s="158"/>
      <c r="D1951" s="158"/>
      <c r="E1951" s="158"/>
      <c r="F1951" s="158"/>
    </row>
    <row r="1952" spans="1:6">
      <c r="A1952" s="817"/>
      <c r="B1952" s="158"/>
      <c r="C1952" s="158"/>
      <c r="D1952" s="158"/>
      <c r="E1952" s="158"/>
      <c r="F1952" s="158"/>
    </row>
    <row r="1953" spans="1:6">
      <c r="A1953" s="817"/>
      <c r="B1953" s="158"/>
      <c r="C1953" s="158"/>
      <c r="D1953" s="158"/>
      <c r="E1953" s="158"/>
      <c r="F1953" s="158"/>
    </row>
    <row r="1954" spans="1:6">
      <c r="A1954" s="817"/>
      <c r="B1954" s="158"/>
      <c r="C1954" s="158"/>
      <c r="D1954" s="158"/>
      <c r="E1954" s="158"/>
      <c r="F1954" s="158"/>
    </row>
    <row r="1955" spans="1:6">
      <c r="A1955" s="817"/>
      <c r="B1955" s="158"/>
      <c r="C1955" s="158"/>
      <c r="D1955" s="158"/>
      <c r="E1955" s="158"/>
      <c r="F1955" s="158"/>
    </row>
    <row r="1956" spans="1:6">
      <c r="A1956" s="817"/>
      <c r="B1956" s="158"/>
      <c r="C1956" s="158"/>
      <c r="D1956" s="158"/>
      <c r="E1956" s="158"/>
      <c r="F1956" s="158"/>
    </row>
    <row r="1957" spans="1:6">
      <c r="A1957" s="817"/>
      <c r="B1957" s="158"/>
      <c r="C1957" s="158"/>
      <c r="D1957" s="158"/>
      <c r="E1957" s="158"/>
      <c r="F1957" s="158"/>
    </row>
    <row r="1958" spans="1:6">
      <c r="A1958" s="817"/>
      <c r="B1958" s="158"/>
      <c r="C1958" s="158"/>
      <c r="D1958" s="158"/>
      <c r="E1958" s="158"/>
      <c r="F1958" s="158"/>
    </row>
    <row r="1963" spans="1:6" ht="15.75">
      <c r="A1963" s="1483" t="s">
        <v>3766</v>
      </c>
    </row>
    <row r="1964" spans="1:6" ht="16.5">
      <c r="A1964" s="1779" t="str">
        <f>'Part I-Project Information'!$F$24</f>
        <v>Wheat Street Tower</v>
      </c>
    </row>
    <row r="1965" spans="1:6" ht="16.5">
      <c r="A1965" s="1779" t="str">
        <f>CONCATENATE('Part I-Project Information'!$F$28,", ", 'Part I-Project Information'!$J$29," County")</f>
        <v>Atlanta, Fulton County</v>
      </c>
    </row>
    <row r="1966" spans="1:6" ht="16.5">
      <c r="A1966" s="1780" t="str">
        <f>CONCATENATE("Identified Complex Issue: ",'Part IX A-Scoring Criteria'!$K$290)</f>
        <v xml:space="preserve">Identified Complex Issue: </v>
      </c>
    </row>
    <row r="1968" spans="1:6" ht="114.75">
      <c r="A1968" s="1412" t="str">
        <f>'Pt IX C-Innovative Project Narr'!A6</f>
        <v>&lt;&lt; Enter paragraph(s) here. Press and hold Alt-Enter to start new paragraphs. &gt;&gt;</v>
      </c>
    </row>
    <row r="1969" spans="1:1">
      <c r="A1969" s="1412"/>
    </row>
    <row r="1970" spans="1:1">
      <c r="A1970" s="1412"/>
    </row>
    <row r="1971" spans="1:1">
      <c r="A1971" s="1412"/>
    </row>
    <row r="1972" spans="1:1">
      <c r="A1972" s="1412"/>
    </row>
    <row r="1973" spans="1:1">
      <c r="A1973" s="1412"/>
    </row>
    <row r="1974" spans="1:1">
      <c r="A1974" s="1412"/>
    </row>
    <row r="1975" spans="1:1">
      <c r="A1975" s="1412"/>
    </row>
    <row r="1976" spans="1:1">
      <c r="A1976" s="1412"/>
    </row>
    <row r="1977" spans="1:1">
      <c r="A1977" s="1412"/>
    </row>
    <row r="1978" spans="1:1">
      <c r="A1978" s="1412"/>
    </row>
    <row r="1979" spans="1:1">
      <c r="A1979" s="1412"/>
    </row>
    <row r="1980" spans="1:1">
      <c r="A1980" s="1412"/>
    </row>
    <row r="1981" spans="1:1">
      <c r="A1981" s="1412"/>
    </row>
    <row r="1982" spans="1:1">
      <c r="A1982" s="1412"/>
    </row>
    <row r="1983" spans="1:1">
      <c r="A1983" s="1412"/>
    </row>
    <row r="1984" spans="1:1">
      <c r="A1984" s="1412"/>
    </row>
    <row r="1985" spans="1:1">
      <c r="A1985" s="1412"/>
    </row>
    <row r="1986" spans="1:1">
      <c r="A1986" s="1412"/>
    </row>
  </sheetData>
  <sheetProtection algorithmName="SHA-512" hashValue="pflyd3ln6XD4Wps8SP5+AXTeDOuiSokUBIiV5nZ+KgG6QNihB3jX5SVp//61jOE/LjceHV1OwSTxpbQapll3kQ==" saltValue="1XmgDgFsp8xQXJdMdKeE1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0" zoomScaleNormal="120" workbookViewId="0">
      <selection activeCell="O7" sqref="O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866" t="str">
        <f>CONCATENATE("PART TWO - DEVELOPMENT TEAM INFORMATION","  -  ",'Part I-Project Information'!$O$4," ",'Part I-Project Information'!$F$24,", ",'Part I-Project Information'!F28,", ",'Part I-Project Information'!J29," County")</f>
        <v>PART TWO - DEVELOPMENT TEAM INFORMATION  -  2016-524 Wheat Street Tower, Atlanta, Fulton County</v>
      </c>
      <c r="B1" s="1867"/>
      <c r="C1" s="1867"/>
      <c r="D1" s="1867"/>
      <c r="E1" s="1867"/>
      <c r="F1" s="1867"/>
      <c r="G1" s="1867"/>
      <c r="H1" s="1867"/>
      <c r="I1" s="1867"/>
      <c r="J1" s="1867"/>
      <c r="K1" s="1867"/>
      <c r="L1" s="1867"/>
      <c r="M1" s="1867"/>
      <c r="N1" s="1867"/>
      <c r="O1" s="1867"/>
      <c r="P1" s="1867"/>
      <c r="Q1" s="1867"/>
      <c r="R1" s="1867"/>
      <c r="S1" s="1868"/>
    </row>
    <row r="2" spans="1:26" ht="12" customHeight="1" thickBot="1">
      <c r="E2" s="1369" t="s">
        <v>4208</v>
      </c>
      <c r="F2" s="1374"/>
      <c r="G2" s="1374"/>
      <c r="H2" s="1374"/>
      <c r="I2" s="1374"/>
      <c r="J2" s="1374"/>
      <c r="K2" s="1374"/>
      <c r="L2" s="1374"/>
      <c r="M2" s="1374"/>
      <c r="N2" s="1374"/>
      <c r="O2" s="1374"/>
      <c r="P2" s="1374"/>
      <c r="Q2" s="1374"/>
      <c r="R2" s="1374"/>
      <c r="S2" s="1374"/>
    </row>
    <row r="3" spans="1:26" s="329" customFormat="1" ht="13.15" customHeight="1" thickBot="1">
      <c r="A3" s="331" t="s">
        <v>640</v>
      </c>
      <c r="B3" s="335" t="s">
        <v>1928</v>
      </c>
      <c r="C3" s="335"/>
      <c r="E3" s="335"/>
      <c r="F3" s="335"/>
      <c r="G3" s="335"/>
      <c r="J3" s="1857" t="s">
        <v>4222</v>
      </c>
      <c r="K3" s="1858"/>
      <c r="L3" s="1859"/>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492" t="s">
        <v>4294</v>
      </c>
      <c r="I5" s="2585"/>
      <c r="J5" s="2585"/>
      <c r="K5" s="2585"/>
      <c r="L5" s="2585"/>
      <c r="M5" s="2585"/>
      <c r="N5" s="2586"/>
      <c r="O5" s="1783" t="s">
        <v>2065</v>
      </c>
      <c r="P5" s="1783"/>
      <c r="Q5" s="2492" t="s">
        <v>4272</v>
      </c>
      <c r="R5" s="2585"/>
      <c r="S5" s="2586"/>
    </row>
    <row r="6" spans="1:26" s="329" customFormat="1" ht="11.25" customHeight="1">
      <c r="D6" s="372"/>
      <c r="E6" s="334" t="s">
        <v>1058</v>
      </c>
      <c r="F6" s="342"/>
      <c r="H6" s="2492" t="s">
        <v>4250</v>
      </c>
      <c r="I6" s="2585"/>
      <c r="J6" s="2585"/>
      <c r="K6" s="2585"/>
      <c r="L6" s="2585"/>
      <c r="M6" s="2585"/>
      <c r="N6" s="2586"/>
      <c r="O6" s="1783" t="s">
        <v>1813</v>
      </c>
      <c r="Q6" s="2492" t="s">
        <v>4277</v>
      </c>
      <c r="R6" s="2585"/>
      <c r="S6" s="2586"/>
    </row>
    <row r="7" spans="1:26" s="329" customFormat="1" ht="11.25" customHeight="1">
      <c r="D7" s="372"/>
      <c r="E7" s="334" t="s">
        <v>642</v>
      </c>
      <c r="H7" s="2492" t="s">
        <v>1251</v>
      </c>
      <c r="I7" s="2585"/>
      <c r="J7" s="2586"/>
      <c r="K7" s="2587" t="s">
        <v>793</v>
      </c>
      <c r="L7" s="2492"/>
      <c r="M7" s="2585"/>
      <c r="N7" s="2586"/>
      <c r="O7" s="1783" t="s">
        <v>1869</v>
      </c>
      <c r="Q7" s="2588">
        <v>6785145901</v>
      </c>
      <c r="R7" s="2589"/>
      <c r="S7" s="2590"/>
    </row>
    <row r="8" spans="1:26" s="329" customFormat="1" ht="11.25" customHeight="1">
      <c r="D8" s="372"/>
      <c r="E8" s="334" t="s">
        <v>1865</v>
      </c>
      <c r="H8" s="2591" t="s">
        <v>880</v>
      </c>
      <c r="I8" s="1785" t="s">
        <v>2308</v>
      </c>
      <c r="J8" s="2592">
        <v>303282589</v>
      </c>
      <c r="K8" s="2586"/>
      <c r="L8" s="329" t="s">
        <v>4144</v>
      </c>
      <c r="M8" s="2593" t="s">
        <v>4278</v>
      </c>
      <c r="N8" s="2594"/>
      <c r="O8" s="1783" t="s">
        <v>2054</v>
      </c>
      <c r="Q8" s="2588">
        <v>7703293234</v>
      </c>
      <c r="R8" s="2589"/>
      <c r="S8" s="2590"/>
    </row>
    <row r="9" spans="1:26" s="329" customFormat="1" ht="11.25" customHeight="1">
      <c r="D9" s="372"/>
      <c r="E9" s="334" t="s">
        <v>2060</v>
      </c>
      <c r="H9" s="2588">
        <v>6785145900</v>
      </c>
      <c r="I9" s="2590"/>
      <c r="J9" s="2595"/>
      <c r="K9" s="1790" t="s">
        <v>2059</v>
      </c>
      <c r="L9" s="2489" t="s">
        <v>4271</v>
      </c>
      <c r="M9" s="2490"/>
      <c r="N9" s="2490"/>
      <c r="O9" s="2490"/>
      <c r="P9" s="2490"/>
      <c r="Q9" s="2490"/>
      <c r="R9" s="2490"/>
      <c r="S9" s="2491"/>
    </row>
    <row r="10" spans="1:26" s="329" customFormat="1" ht="11.25" customHeight="1">
      <c r="D10" s="372"/>
      <c r="E10" s="322" t="s">
        <v>2848</v>
      </c>
      <c r="H10" s="366"/>
      <c r="K10" s="297"/>
      <c r="N10" s="405" t="s">
        <v>3851</v>
      </c>
      <c r="Q10" s="1790"/>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596" t="s">
        <v>1331</v>
      </c>
      <c r="W12" s="2596"/>
      <c r="X12" s="2596"/>
      <c r="Y12" s="2596"/>
      <c r="Z12" s="2596"/>
    </row>
    <row r="13" spans="1:26" s="329" customFormat="1" ht="11.25" customHeight="1">
      <c r="C13" s="374" t="s">
        <v>2062</v>
      </c>
      <c r="D13" s="371" t="s">
        <v>2063</v>
      </c>
      <c r="H13" s="1793"/>
      <c r="I13" s="1793"/>
      <c r="J13" s="1793"/>
      <c r="N13" s="1415"/>
      <c r="W13" s="2597"/>
      <c r="X13" s="2597"/>
      <c r="Y13" s="2597"/>
      <c r="Z13" s="2597"/>
    </row>
    <row r="14" spans="1:26" s="329" customFormat="1" ht="11.25" customHeight="1">
      <c r="D14" s="331" t="s">
        <v>2194</v>
      </c>
      <c r="E14" s="329" t="s">
        <v>1926</v>
      </c>
      <c r="H14" s="2474" t="s">
        <v>4295</v>
      </c>
      <c r="I14" s="2535"/>
      <c r="J14" s="2535"/>
      <c r="K14" s="2535"/>
      <c r="L14" s="2535"/>
      <c r="M14" s="2535"/>
      <c r="N14" s="2536"/>
      <c r="O14" s="1783" t="s">
        <v>2065</v>
      </c>
      <c r="P14" s="1783"/>
      <c r="Q14" s="2474" t="s">
        <v>4272</v>
      </c>
      <c r="R14" s="2535"/>
      <c r="S14" s="2536"/>
    </row>
    <row r="15" spans="1:26" s="329" customFormat="1" ht="11.25" customHeight="1">
      <c r="D15" s="372"/>
      <c r="E15" s="334" t="s">
        <v>1058</v>
      </c>
      <c r="F15" s="342"/>
      <c r="H15" s="2474" t="s">
        <v>4250</v>
      </c>
      <c r="I15" s="2535"/>
      <c r="J15" s="2535"/>
      <c r="K15" s="2535"/>
      <c r="L15" s="2535"/>
      <c r="M15" s="2535"/>
      <c r="N15" s="2536"/>
      <c r="O15" s="1783" t="s">
        <v>1813</v>
      </c>
      <c r="Q15" s="2474" t="s">
        <v>4277</v>
      </c>
      <c r="R15" s="2535"/>
      <c r="S15" s="2536"/>
    </row>
    <row r="16" spans="1:26" s="329" customFormat="1" ht="11.25" customHeight="1">
      <c r="D16" s="372"/>
      <c r="E16" s="334" t="s">
        <v>642</v>
      </c>
      <c r="H16" s="2474" t="s">
        <v>1251</v>
      </c>
      <c r="I16" s="2535"/>
      <c r="J16" s="2536"/>
      <c r="K16" s="1784" t="s">
        <v>2809</v>
      </c>
      <c r="L16" s="2474" t="s">
        <v>4275</v>
      </c>
      <c r="M16" s="2535"/>
      <c r="N16" s="2536"/>
      <c r="O16" s="1783" t="s">
        <v>1869</v>
      </c>
      <c r="Q16" s="2482">
        <v>6785145901</v>
      </c>
      <c r="R16" s="2487"/>
      <c r="S16" s="2483"/>
    </row>
    <row r="17" spans="3:19" s="329" customFormat="1" ht="11.25" customHeight="1">
      <c r="D17" s="331"/>
      <c r="E17" s="334" t="s">
        <v>1865</v>
      </c>
      <c r="H17" s="2488" t="s">
        <v>880</v>
      </c>
      <c r="K17" s="1785" t="s">
        <v>2308</v>
      </c>
      <c r="L17" s="2485">
        <v>303282589</v>
      </c>
      <c r="M17" s="2536"/>
      <c r="O17" s="1783" t="s">
        <v>2054</v>
      </c>
      <c r="Q17" s="2482">
        <v>7703293234</v>
      </c>
      <c r="R17" s="2487"/>
      <c r="S17" s="2483"/>
    </row>
    <row r="18" spans="3:19" s="329" customFormat="1" ht="11.25" customHeight="1">
      <c r="D18" s="372"/>
      <c r="E18" s="334" t="s">
        <v>2060</v>
      </c>
      <c r="H18" s="2482">
        <v>6785145900</v>
      </c>
      <c r="I18" s="2483"/>
      <c r="J18" s="2598"/>
      <c r="K18" s="1790" t="s">
        <v>2059</v>
      </c>
      <c r="L18" s="2489" t="s">
        <v>4271</v>
      </c>
      <c r="M18" s="2490"/>
      <c r="N18" s="2490"/>
      <c r="O18" s="2490"/>
      <c r="P18" s="2490"/>
      <c r="Q18" s="2490"/>
      <c r="R18" s="2490"/>
      <c r="S18" s="2491"/>
    </row>
    <row r="19" spans="3:19" ht="4.1500000000000004" customHeight="1">
      <c r="D19" s="357"/>
      <c r="H19" s="2599"/>
      <c r="I19" s="2599"/>
      <c r="J19" s="2599"/>
      <c r="K19" s="1790"/>
      <c r="L19" s="2599"/>
      <c r="M19" s="2599"/>
      <c r="N19" s="1786"/>
      <c r="O19" s="1416"/>
      <c r="P19" s="1416"/>
      <c r="Q19" s="1790"/>
      <c r="R19" s="1416"/>
      <c r="S19" s="1416"/>
    </row>
    <row r="20" spans="3:19" s="329" customFormat="1" ht="11.25" customHeight="1">
      <c r="D20" s="331" t="s">
        <v>2195</v>
      </c>
      <c r="E20" s="329" t="s">
        <v>1927</v>
      </c>
      <c r="F20" s="1793"/>
      <c r="H20" s="2474" t="s">
        <v>4296</v>
      </c>
      <c r="I20" s="2535"/>
      <c r="J20" s="2535"/>
      <c r="K20" s="2535"/>
      <c r="L20" s="2535"/>
      <c r="M20" s="2535"/>
      <c r="N20" s="2536"/>
      <c r="O20" s="1783" t="s">
        <v>2065</v>
      </c>
      <c r="P20" s="1783"/>
      <c r="Q20" s="2474" t="s">
        <v>4302</v>
      </c>
      <c r="R20" s="2535"/>
      <c r="S20" s="2536"/>
    </row>
    <row r="21" spans="3:19" s="329" customFormat="1" ht="11.25" customHeight="1">
      <c r="D21" s="372"/>
      <c r="E21" s="334" t="s">
        <v>1058</v>
      </c>
      <c r="F21" s="342"/>
      <c r="H21" s="2474" t="s">
        <v>4253</v>
      </c>
      <c r="I21" s="2535"/>
      <c r="J21" s="2535"/>
      <c r="K21" s="2535"/>
      <c r="L21" s="2535"/>
      <c r="M21" s="2535"/>
      <c r="N21" s="2536"/>
      <c r="O21" s="1783" t="s">
        <v>1813</v>
      </c>
      <c r="Q21" s="2474" t="s">
        <v>4277</v>
      </c>
      <c r="R21" s="2535"/>
      <c r="S21" s="2536"/>
    </row>
    <row r="22" spans="3:19" s="329" customFormat="1" ht="11.25" customHeight="1">
      <c r="D22" s="372"/>
      <c r="E22" s="334" t="s">
        <v>642</v>
      </c>
      <c r="H22" s="2474" t="s">
        <v>4301</v>
      </c>
      <c r="I22" s="2535"/>
      <c r="J22" s="2536"/>
      <c r="K22" s="1784" t="s">
        <v>2809</v>
      </c>
      <c r="L22" s="2474"/>
      <c r="M22" s="2535"/>
      <c r="N22" s="2536"/>
      <c r="O22" s="1783" t="s">
        <v>1869</v>
      </c>
      <c r="Q22" s="2482">
        <v>4049647508</v>
      </c>
      <c r="R22" s="2487"/>
      <c r="S22" s="2483"/>
    </row>
    <row r="23" spans="3:19" s="329" customFormat="1" ht="11.25" customHeight="1">
      <c r="E23" s="334" t="s">
        <v>1865</v>
      </c>
      <c r="H23" s="2488" t="s">
        <v>880</v>
      </c>
      <c r="K23" s="1785" t="s">
        <v>2308</v>
      </c>
      <c r="L23" s="2485">
        <v>303121517</v>
      </c>
      <c r="M23" s="2536"/>
      <c r="O23" s="1783" t="s">
        <v>2054</v>
      </c>
      <c r="Q23" s="2482">
        <v>4049647508</v>
      </c>
      <c r="R23" s="2487"/>
      <c r="S23" s="2483"/>
    </row>
    <row r="24" spans="3:19" s="329" customFormat="1" ht="11.25" customHeight="1">
      <c r="D24" s="372"/>
      <c r="E24" s="334" t="s">
        <v>2060</v>
      </c>
      <c r="H24" s="2482">
        <v>4045255673</v>
      </c>
      <c r="I24" s="2483"/>
      <c r="J24" s="2598"/>
      <c r="K24" s="1790" t="s">
        <v>2059</v>
      </c>
      <c r="L24" s="2489" t="s">
        <v>4303</v>
      </c>
      <c r="M24" s="2490"/>
      <c r="N24" s="2490"/>
      <c r="O24" s="2490"/>
      <c r="P24" s="2490"/>
      <c r="Q24" s="2490"/>
      <c r="R24" s="2490"/>
      <c r="S24" s="2491"/>
    </row>
    <row r="25" spans="3:19" s="329" customFormat="1" ht="4.1500000000000004" customHeight="1">
      <c r="D25" s="372"/>
      <c r="E25" s="1793"/>
      <c r="F25" s="1793"/>
      <c r="G25" s="1783"/>
      <c r="H25" s="2599"/>
      <c r="I25" s="2599"/>
      <c r="J25" s="2599"/>
      <c r="K25" s="1790"/>
      <c r="L25" s="2599"/>
      <c r="M25" s="2599"/>
      <c r="N25" s="1786"/>
      <c r="O25" s="1416"/>
      <c r="P25" s="1416"/>
      <c r="Q25" s="1790"/>
      <c r="R25" s="1416"/>
      <c r="S25" s="1416"/>
    </row>
    <row r="26" spans="3:19" s="329" customFormat="1" ht="11.25" customHeight="1">
      <c r="D26" s="331" t="s">
        <v>1800</v>
      </c>
      <c r="E26" s="329" t="s">
        <v>1927</v>
      </c>
      <c r="F26" s="1793"/>
      <c r="H26" s="2474"/>
      <c r="I26" s="2535"/>
      <c r="J26" s="2535"/>
      <c r="K26" s="2535"/>
      <c r="L26" s="2535"/>
      <c r="M26" s="2535"/>
      <c r="N26" s="2536"/>
      <c r="O26" s="1783" t="s">
        <v>2065</v>
      </c>
      <c r="P26" s="1783"/>
      <c r="Q26" s="2474"/>
      <c r="R26" s="2535"/>
      <c r="S26" s="2536"/>
    </row>
    <row r="27" spans="3:19" s="329" customFormat="1" ht="11.25" customHeight="1">
      <c r="D27" s="372"/>
      <c r="E27" s="334" t="s">
        <v>1058</v>
      </c>
      <c r="F27" s="342"/>
      <c r="H27" s="2474"/>
      <c r="I27" s="2535"/>
      <c r="J27" s="2535"/>
      <c r="K27" s="2535"/>
      <c r="L27" s="2535"/>
      <c r="M27" s="2535"/>
      <c r="N27" s="2536"/>
      <c r="O27" s="1783" t="s">
        <v>1813</v>
      </c>
      <c r="Q27" s="2474"/>
      <c r="R27" s="2535"/>
      <c r="S27" s="2536"/>
    </row>
    <row r="28" spans="3:19" s="329" customFormat="1" ht="11.25" customHeight="1">
      <c r="D28" s="372"/>
      <c r="E28" s="334" t="s">
        <v>642</v>
      </c>
      <c r="H28" s="2474"/>
      <c r="I28" s="2535"/>
      <c r="J28" s="2536"/>
      <c r="K28" s="1784" t="s">
        <v>2809</v>
      </c>
      <c r="L28" s="2474"/>
      <c r="M28" s="2535"/>
      <c r="N28" s="2536"/>
      <c r="O28" s="1783" t="s">
        <v>1869</v>
      </c>
      <c r="Q28" s="2482"/>
      <c r="R28" s="2487"/>
      <c r="S28" s="2483"/>
    </row>
    <row r="29" spans="3:19" s="329" customFormat="1" ht="11.25" customHeight="1">
      <c r="E29" s="334" t="s">
        <v>1865</v>
      </c>
      <c r="H29" s="2488"/>
      <c r="K29" s="1785" t="s">
        <v>2308</v>
      </c>
      <c r="L29" s="2485"/>
      <c r="M29" s="2536"/>
      <c r="O29" s="1783" t="s">
        <v>2054</v>
      </c>
      <c r="Q29" s="2482"/>
      <c r="R29" s="2487"/>
      <c r="S29" s="2483"/>
    </row>
    <row r="30" spans="3:19" s="329" customFormat="1" ht="11.25" customHeight="1">
      <c r="D30" s="372"/>
      <c r="E30" s="334" t="s">
        <v>2060</v>
      </c>
      <c r="H30" s="2482"/>
      <c r="I30" s="2483"/>
      <c r="J30" s="2598"/>
      <c r="K30" s="1790" t="s">
        <v>2059</v>
      </c>
      <c r="L30" s="2489"/>
      <c r="M30" s="2490"/>
      <c r="N30" s="2490"/>
      <c r="O30" s="2490"/>
      <c r="P30" s="2490"/>
      <c r="Q30" s="2490"/>
      <c r="R30" s="2490"/>
      <c r="S30" s="2491"/>
    </row>
    <row r="31" spans="3:19" ht="4.1500000000000004" customHeight="1"/>
    <row r="32" spans="3:19" s="329" customFormat="1" ht="11.25" customHeight="1">
      <c r="C32" s="374" t="s">
        <v>2064</v>
      </c>
      <c r="D32" s="371" t="s">
        <v>1929</v>
      </c>
      <c r="H32" s="1793"/>
      <c r="I32" s="1793"/>
      <c r="J32" s="1793"/>
      <c r="K32" s="1793"/>
      <c r="L32" s="1793"/>
      <c r="M32" s="1793"/>
    </row>
    <row r="33" spans="3:19" s="329" customFormat="1" ht="11.25" customHeight="1">
      <c r="D33" s="331" t="s">
        <v>2194</v>
      </c>
      <c r="E33" s="329" t="s">
        <v>780</v>
      </c>
      <c r="H33" s="2474" t="s">
        <v>4297</v>
      </c>
      <c r="I33" s="2535"/>
      <c r="J33" s="2535"/>
      <c r="K33" s="2535"/>
      <c r="L33" s="2535"/>
      <c r="M33" s="2535"/>
      <c r="N33" s="2536"/>
      <c r="O33" s="1783" t="s">
        <v>2065</v>
      </c>
      <c r="P33" s="1783"/>
      <c r="Q33" s="2474" t="s">
        <v>4308</v>
      </c>
      <c r="R33" s="2535"/>
      <c r="S33" s="2536"/>
    </row>
    <row r="34" spans="3:19" s="329" customFormat="1" ht="11.25" customHeight="1">
      <c r="D34" s="372"/>
      <c r="E34" s="334" t="s">
        <v>1058</v>
      </c>
      <c r="F34" s="342"/>
      <c r="H34" s="2474" t="s">
        <v>4352</v>
      </c>
      <c r="I34" s="2535"/>
      <c r="J34" s="2535"/>
      <c r="K34" s="2535"/>
      <c r="L34" s="2535"/>
      <c r="M34" s="2535"/>
      <c r="N34" s="2536"/>
      <c r="O34" s="1783" t="s">
        <v>1813</v>
      </c>
      <c r="Q34" s="2474" t="s">
        <v>4308</v>
      </c>
      <c r="R34" s="2535"/>
      <c r="S34" s="2536"/>
    </row>
    <row r="35" spans="3:19" s="329" customFormat="1" ht="11.25" customHeight="1">
      <c r="D35" s="372"/>
      <c r="E35" s="334" t="s">
        <v>642</v>
      </c>
      <c r="H35" s="2474" t="s">
        <v>4353</v>
      </c>
      <c r="I35" s="2535"/>
      <c r="J35" s="2536"/>
      <c r="K35" s="1784" t="s">
        <v>2809</v>
      </c>
      <c r="L35" s="2474" t="s">
        <v>4354</v>
      </c>
      <c r="M35" s="2535"/>
      <c r="N35" s="2536"/>
      <c r="O35" s="1783" t="s">
        <v>1869</v>
      </c>
      <c r="Q35" s="2482">
        <v>2126821106</v>
      </c>
      <c r="R35" s="2487"/>
      <c r="S35" s="2483"/>
    </row>
    <row r="36" spans="3:19" s="329" customFormat="1" ht="11.25" customHeight="1">
      <c r="E36" s="334" t="s">
        <v>1865</v>
      </c>
      <c r="H36" s="2488" t="s">
        <v>1398</v>
      </c>
      <c r="K36" s="1785" t="s">
        <v>2308</v>
      </c>
      <c r="L36" s="2485">
        <v>100041436</v>
      </c>
      <c r="M36" s="2536"/>
      <c r="O36" s="1783" t="s">
        <v>2054</v>
      </c>
      <c r="Q36" s="2482">
        <v>2126821106</v>
      </c>
      <c r="R36" s="2487"/>
      <c r="S36" s="2483"/>
    </row>
    <row r="37" spans="3:19" s="329" customFormat="1" ht="11.25" customHeight="1">
      <c r="D37" s="372"/>
      <c r="E37" s="334" t="s">
        <v>2060</v>
      </c>
      <c r="H37" s="2482">
        <v>2126821106</v>
      </c>
      <c r="I37" s="2483"/>
      <c r="J37" s="2598"/>
      <c r="K37" s="1790" t="s">
        <v>2059</v>
      </c>
      <c r="L37" s="2489" t="s">
        <v>4351</v>
      </c>
      <c r="M37" s="2490"/>
      <c r="N37" s="2490"/>
      <c r="O37" s="2490"/>
      <c r="P37" s="2490"/>
      <c r="Q37" s="2490"/>
      <c r="R37" s="2490"/>
      <c r="S37" s="2491"/>
    </row>
    <row r="38" spans="3:19" ht="4.1500000000000004" customHeight="1">
      <c r="H38" s="2599"/>
      <c r="I38" s="2599"/>
      <c r="J38" s="2599"/>
      <c r="K38" s="1790"/>
      <c r="L38" s="2599"/>
      <c r="M38" s="2599"/>
      <c r="N38" s="1786"/>
      <c r="O38" s="1416"/>
      <c r="P38" s="1416"/>
      <c r="Q38" s="1790"/>
      <c r="R38" s="1416"/>
      <c r="S38" s="1416"/>
    </row>
    <row r="39" spans="3:19" s="329" customFormat="1" ht="11.25" customHeight="1">
      <c r="D39" s="331" t="s">
        <v>2195</v>
      </c>
      <c r="E39" s="329" t="s">
        <v>781</v>
      </c>
      <c r="F39" s="331"/>
      <c r="H39" s="2474" t="s">
        <v>4298</v>
      </c>
      <c r="I39" s="2535"/>
      <c r="J39" s="2535"/>
      <c r="K39" s="2535"/>
      <c r="L39" s="2535"/>
      <c r="M39" s="2535"/>
      <c r="N39" s="2536"/>
      <c r="O39" s="1783" t="s">
        <v>2065</v>
      </c>
      <c r="P39" s="1783"/>
      <c r="Q39" s="2474" t="s">
        <v>4307</v>
      </c>
      <c r="R39" s="2535"/>
      <c r="S39" s="2536"/>
    </row>
    <row r="40" spans="3:19" s="329" customFormat="1" ht="11.25" customHeight="1">
      <c r="D40" s="372"/>
      <c r="E40" s="334" t="s">
        <v>1058</v>
      </c>
      <c r="F40" s="342"/>
      <c r="H40" s="2474" t="s">
        <v>4304</v>
      </c>
      <c r="I40" s="2535"/>
      <c r="J40" s="2535"/>
      <c r="K40" s="2535"/>
      <c r="L40" s="2535"/>
      <c r="M40" s="2535"/>
      <c r="N40" s="2536"/>
      <c r="O40" s="1783" t="s">
        <v>1813</v>
      </c>
      <c r="Q40" s="2474" t="s">
        <v>4308</v>
      </c>
      <c r="R40" s="2535"/>
      <c r="S40" s="2536"/>
    </row>
    <row r="41" spans="3:19" s="329" customFormat="1" ht="11.25" customHeight="1">
      <c r="D41" s="372"/>
      <c r="E41" s="334" t="s">
        <v>642</v>
      </c>
      <c r="H41" s="2474" t="s">
        <v>4305</v>
      </c>
      <c r="I41" s="2535"/>
      <c r="J41" s="2536"/>
      <c r="K41" s="1784" t="s">
        <v>2809</v>
      </c>
      <c r="L41" s="2474" t="s">
        <v>4306</v>
      </c>
      <c r="M41" s="2535"/>
      <c r="N41" s="2536"/>
      <c r="O41" s="1783" t="s">
        <v>1869</v>
      </c>
      <c r="Q41" s="2482">
        <v>3144821700</v>
      </c>
      <c r="R41" s="2487"/>
      <c r="S41" s="2483"/>
    </row>
    <row r="42" spans="3:19" s="329" customFormat="1" ht="11.25" customHeight="1">
      <c r="D42" s="331"/>
      <c r="E42" s="334" t="s">
        <v>1865</v>
      </c>
      <c r="H42" s="2488" t="s">
        <v>1391</v>
      </c>
      <c r="K42" s="1785" t="s">
        <v>2308</v>
      </c>
      <c r="L42" s="2485">
        <v>631192931</v>
      </c>
      <c r="M42" s="2536"/>
      <c r="O42" s="1783" t="s">
        <v>2054</v>
      </c>
      <c r="Q42" s="2482">
        <v>3145616804</v>
      </c>
      <c r="R42" s="2487"/>
      <c r="S42" s="2483"/>
    </row>
    <row r="43" spans="3:19" s="329" customFormat="1" ht="11.25" customHeight="1">
      <c r="D43" s="372"/>
      <c r="E43" s="334" t="s">
        <v>2060</v>
      </c>
      <c r="H43" s="2482">
        <v>3149682205</v>
      </c>
      <c r="I43" s="2483"/>
      <c r="J43" s="2598"/>
      <c r="K43" s="1790" t="s">
        <v>2059</v>
      </c>
      <c r="L43" s="2489" t="s">
        <v>4309</v>
      </c>
      <c r="M43" s="2490"/>
      <c r="N43" s="2490"/>
      <c r="O43" s="2490"/>
      <c r="P43" s="2490"/>
      <c r="Q43" s="2490"/>
      <c r="R43" s="2490"/>
      <c r="S43" s="2491"/>
    </row>
    <row r="44" spans="3:19" s="329" customFormat="1" ht="4.1500000000000004" customHeight="1">
      <c r="D44" s="372"/>
      <c r="E44" s="334"/>
      <c r="F44" s="331"/>
      <c r="H44" s="366"/>
      <c r="I44" s="366"/>
      <c r="J44" s="1446"/>
      <c r="K44" s="1790"/>
      <c r="L44" s="366"/>
      <c r="M44" s="366"/>
      <c r="N44" s="1790"/>
      <c r="O44" s="366"/>
      <c r="P44" s="366"/>
      <c r="Q44" s="1790"/>
      <c r="R44" s="366"/>
      <c r="S44" s="366"/>
    </row>
    <row r="45" spans="3:19" s="329" customFormat="1" ht="11.25" customHeight="1">
      <c r="C45" s="375" t="s">
        <v>2622</v>
      </c>
      <c r="D45" s="371" t="s">
        <v>676</v>
      </c>
      <c r="H45" s="1793"/>
      <c r="I45" s="1793"/>
      <c r="J45" s="1793"/>
      <c r="K45" s="1793"/>
      <c r="L45" s="1793"/>
      <c r="M45" s="1793"/>
    </row>
    <row r="46" spans="3:19" s="329" customFormat="1" ht="11.25" customHeight="1">
      <c r="E46" s="329" t="s">
        <v>94</v>
      </c>
      <c r="H46" s="2474"/>
      <c r="I46" s="2535"/>
      <c r="J46" s="2535"/>
      <c r="K46" s="2535"/>
      <c r="L46" s="2535"/>
      <c r="M46" s="2535"/>
      <c r="N46" s="2536"/>
      <c r="O46" s="1783" t="s">
        <v>2065</v>
      </c>
      <c r="P46" s="1783"/>
      <c r="Q46" s="2474"/>
      <c r="R46" s="2535"/>
      <c r="S46" s="2536"/>
    </row>
    <row r="47" spans="3:19" s="329" customFormat="1" ht="11.25" customHeight="1">
      <c r="D47" s="372"/>
      <c r="E47" s="334" t="s">
        <v>1058</v>
      </c>
      <c r="F47" s="342"/>
      <c r="H47" s="2474"/>
      <c r="I47" s="2535"/>
      <c r="J47" s="2535"/>
      <c r="K47" s="2535"/>
      <c r="L47" s="2535"/>
      <c r="M47" s="2535"/>
      <c r="N47" s="2536"/>
      <c r="O47" s="1783" t="s">
        <v>1813</v>
      </c>
      <c r="Q47" s="2474"/>
      <c r="R47" s="2535"/>
      <c r="S47" s="2536"/>
    </row>
    <row r="48" spans="3:19" s="329" customFormat="1" ht="11.25" customHeight="1">
      <c r="D48" s="372"/>
      <c r="E48" s="334" t="s">
        <v>642</v>
      </c>
      <c r="H48" s="2474"/>
      <c r="I48" s="2535"/>
      <c r="J48" s="2536"/>
      <c r="K48" s="1784" t="s">
        <v>2809</v>
      </c>
      <c r="L48" s="2474"/>
      <c r="M48" s="2535"/>
      <c r="N48" s="2536"/>
      <c r="O48" s="1783" t="s">
        <v>1869</v>
      </c>
      <c r="Q48" s="2482"/>
      <c r="R48" s="2487"/>
      <c r="S48" s="2483"/>
    </row>
    <row r="49" spans="1:19" s="329" customFormat="1" ht="11.25" customHeight="1">
      <c r="E49" s="334" t="s">
        <v>1865</v>
      </c>
      <c r="H49" s="2488"/>
      <c r="K49" s="1785" t="s">
        <v>2308</v>
      </c>
      <c r="L49" s="2485"/>
      <c r="M49" s="2536"/>
      <c r="O49" s="1783" t="s">
        <v>2054</v>
      </c>
      <c r="Q49" s="2482"/>
      <c r="R49" s="2487"/>
      <c r="S49" s="2483"/>
    </row>
    <row r="50" spans="1:19" s="329" customFormat="1" ht="11.25" customHeight="1">
      <c r="D50" s="372"/>
      <c r="E50" s="334" t="s">
        <v>2060</v>
      </c>
      <c r="H50" s="2482"/>
      <c r="I50" s="2483"/>
      <c r="J50" s="2598"/>
      <c r="K50" s="1790" t="s">
        <v>2059</v>
      </c>
      <c r="L50" s="2489"/>
      <c r="M50" s="2490"/>
      <c r="N50" s="2490"/>
      <c r="O50" s="2490"/>
      <c r="P50" s="2490"/>
      <c r="Q50" s="2490"/>
      <c r="R50" s="2490"/>
      <c r="S50" s="2491"/>
    </row>
    <row r="51" spans="1:19" ht="6.75" customHeight="1"/>
    <row r="52" spans="1:19" s="329" customFormat="1" ht="13.15" customHeight="1">
      <c r="A52" s="331" t="s">
        <v>770</v>
      </c>
      <c r="B52" s="331" t="s">
        <v>677</v>
      </c>
      <c r="F52" s="331"/>
      <c r="G52" s="1790"/>
      <c r="H52" s="1790"/>
      <c r="I52" s="1790"/>
      <c r="J52" s="1793"/>
      <c r="K52" s="1793"/>
      <c r="L52" s="1793"/>
      <c r="M52" s="1793"/>
      <c r="N52" s="1793"/>
      <c r="O52" s="1793"/>
      <c r="P52" s="1793"/>
      <c r="Q52" s="1793"/>
      <c r="R52" s="1793"/>
      <c r="S52" s="1793"/>
    </row>
    <row r="53" spans="1:19" s="329" customFormat="1" ht="3" customHeight="1">
      <c r="A53" s="331"/>
      <c r="B53" s="331"/>
      <c r="F53" s="331"/>
      <c r="G53" s="1790"/>
      <c r="H53" s="2600"/>
      <c r="I53" s="2600"/>
      <c r="J53" s="2600"/>
      <c r="K53" s="1786"/>
      <c r="L53" s="2600"/>
      <c r="M53" s="2600"/>
      <c r="N53" s="1786"/>
      <c r="O53" s="1416"/>
      <c r="P53" s="1416"/>
      <c r="Q53" s="1790"/>
      <c r="R53" s="1416"/>
      <c r="S53" s="1416"/>
    </row>
    <row r="54" spans="1:19" s="329" customFormat="1" ht="11.25" customHeight="1">
      <c r="B54" s="331" t="s">
        <v>2058</v>
      </c>
      <c r="C54" s="331" t="s">
        <v>295</v>
      </c>
      <c r="H54" s="2474" t="s">
        <v>4274</v>
      </c>
      <c r="I54" s="2535"/>
      <c r="J54" s="2535"/>
      <c r="K54" s="2535"/>
      <c r="L54" s="2535"/>
      <c r="M54" s="2535"/>
      <c r="N54" s="2536"/>
      <c r="O54" s="1783" t="s">
        <v>2065</v>
      </c>
      <c r="P54" s="1783"/>
      <c r="Q54" s="2474" t="s">
        <v>4272</v>
      </c>
      <c r="R54" s="2535"/>
      <c r="S54" s="2536"/>
    </row>
    <row r="55" spans="1:19" s="329" customFormat="1" ht="11.25" customHeight="1">
      <c r="D55" s="372"/>
      <c r="E55" s="334" t="s">
        <v>1058</v>
      </c>
      <c r="F55" s="342"/>
      <c r="H55" s="2474" t="s">
        <v>4250</v>
      </c>
      <c r="I55" s="2535"/>
      <c r="J55" s="2535"/>
      <c r="K55" s="2535"/>
      <c r="L55" s="2535"/>
      <c r="M55" s="2535"/>
      <c r="N55" s="2536"/>
      <c r="O55" s="1783" t="s">
        <v>1813</v>
      </c>
      <c r="Q55" s="2474" t="s">
        <v>4276</v>
      </c>
      <c r="R55" s="2535"/>
      <c r="S55" s="2536"/>
    </row>
    <row r="56" spans="1:19" s="329" customFormat="1" ht="11.25" customHeight="1">
      <c r="D56" s="372"/>
      <c r="E56" s="334" t="s">
        <v>642</v>
      </c>
      <c r="H56" s="2474" t="s">
        <v>1251</v>
      </c>
      <c r="I56" s="2535"/>
      <c r="J56" s="2536"/>
      <c r="K56" s="1784" t="s">
        <v>2809</v>
      </c>
      <c r="L56" s="2474" t="s">
        <v>4275</v>
      </c>
      <c r="M56" s="2535"/>
      <c r="N56" s="2536"/>
      <c r="O56" s="1783" t="s">
        <v>1869</v>
      </c>
      <c r="Q56" s="2482">
        <v>6785145901</v>
      </c>
      <c r="R56" s="2487"/>
      <c r="S56" s="2483"/>
    </row>
    <row r="57" spans="1:19" s="329" customFormat="1" ht="11.25" customHeight="1">
      <c r="E57" s="334" t="s">
        <v>1865</v>
      </c>
      <c r="H57" s="2488" t="s">
        <v>880</v>
      </c>
      <c r="K57" s="1785" t="s">
        <v>2308</v>
      </c>
      <c r="L57" s="2485">
        <v>303282589</v>
      </c>
      <c r="M57" s="2536"/>
      <c r="O57" s="1783" t="s">
        <v>2054</v>
      </c>
      <c r="Q57" s="2482">
        <v>7703293234</v>
      </c>
      <c r="R57" s="2487"/>
      <c r="S57" s="2483"/>
    </row>
    <row r="58" spans="1:19" s="329" customFormat="1" ht="11.25" customHeight="1">
      <c r="D58" s="372"/>
      <c r="E58" s="334" t="s">
        <v>2060</v>
      </c>
      <c r="H58" s="2482">
        <v>6785145900</v>
      </c>
      <c r="I58" s="2483"/>
      <c r="J58" s="2598"/>
      <c r="K58" s="1790" t="s">
        <v>2059</v>
      </c>
      <c r="L58" s="2489" t="s">
        <v>4271</v>
      </c>
      <c r="M58" s="2490"/>
      <c r="N58" s="2490"/>
      <c r="O58" s="2490"/>
      <c r="P58" s="2490"/>
      <c r="Q58" s="2490"/>
      <c r="R58" s="2490"/>
      <c r="S58" s="2491"/>
    </row>
    <row r="59" spans="1:19" s="329" customFormat="1" ht="6.6" customHeight="1">
      <c r="D59" s="372"/>
      <c r="E59" s="1793"/>
      <c r="F59" s="1793"/>
      <c r="G59" s="1783"/>
      <c r="H59" s="2599"/>
      <c r="I59" s="2599"/>
      <c r="J59" s="2599"/>
      <c r="K59" s="1790"/>
      <c r="L59" s="2599"/>
      <c r="M59" s="2599"/>
      <c r="N59" s="1786"/>
      <c r="O59" s="1416"/>
      <c r="P59" s="1416"/>
      <c r="Q59" s="1790"/>
      <c r="R59" s="1416"/>
      <c r="S59" s="1416"/>
    </row>
    <row r="60" spans="1:19" s="329" customFormat="1" ht="11.25" customHeight="1">
      <c r="B60" s="331" t="s">
        <v>2061</v>
      </c>
      <c r="C60" s="331" t="s">
        <v>296</v>
      </c>
      <c r="H60" s="2474" t="s">
        <v>4299</v>
      </c>
      <c r="I60" s="2535"/>
      <c r="J60" s="2535"/>
      <c r="K60" s="2535"/>
      <c r="L60" s="2535"/>
      <c r="M60" s="2535"/>
      <c r="N60" s="2536"/>
      <c r="O60" s="1783" t="s">
        <v>2065</v>
      </c>
      <c r="P60" s="1783"/>
      <c r="Q60" s="2474" t="s">
        <v>4310</v>
      </c>
      <c r="R60" s="2535"/>
      <c r="S60" s="2536"/>
    </row>
    <row r="61" spans="1:19" s="329" customFormat="1" ht="11.25" customHeight="1">
      <c r="D61" s="372"/>
      <c r="E61" s="334" t="s">
        <v>1058</v>
      </c>
      <c r="F61" s="342"/>
      <c r="H61" s="2474" t="s">
        <v>4253</v>
      </c>
      <c r="I61" s="2535"/>
      <c r="J61" s="2535"/>
      <c r="K61" s="2535"/>
      <c r="L61" s="2535"/>
      <c r="M61" s="2535"/>
      <c r="N61" s="2536"/>
      <c r="O61" s="1783" t="s">
        <v>1813</v>
      </c>
      <c r="Q61" s="2474" t="s">
        <v>4277</v>
      </c>
      <c r="R61" s="2535"/>
      <c r="S61" s="2536"/>
    </row>
    <row r="62" spans="1:19" s="329" customFormat="1" ht="11.25" customHeight="1">
      <c r="D62" s="372"/>
      <c r="E62" s="334" t="s">
        <v>642</v>
      </c>
      <c r="H62" s="2474" t="s">
        <v>1251</v>
      </c>
      <c r="I62" s="2535"/>
      <c r="J62" s="2536"/>
      <c r="K62" s="1784" t="s">
        <v>2809</v>
      </c>
      <c r="L62" s="2474"/>
      <c r="M62" s="2535"/>
      <c r="N62" s="2536"/>
      <c r="O62" s="1783" t="s">
        <v>1869</v>
      </c>
      <c r="Q62" s="2482">
        <v>4049647508</v>
      </c>
      <c r="R62" s="2487"/>
      <c r="S62" s="2483"/>
    </row>
    <row r="63" spans="1:19" s="329" customFormat="1" ht="11.25" customHeight="1">
      <c r="E63" s="334" t="s">
        <v>1865</v>
      </c>
      <c r="H63" s="2488" t="s">
        <v>880</v>
      </c>
      <c r="K63" s="1785" t="s">
        <v>2308</v>
      </c>
      <c r="L63" s="2485">
        <v>303121517</v>
      </c>
      <c r="M63" s="2536"/>
      <c r="O63" s="1783" t="s">
        <v>2054</v>
      </c>
      <c r="Q63" s="2482">
        <v>4049647508</v>
      </c>
      <c r="R63" s="2487"/>
      <c r="S63" s="2483"/>
    </row>
    <row r="64" spans="1:19" s="329" customFormat="1" ht="11.25" customHeight="1">
      <c r="D64" s="372"/>
      <c r="E64" s="334" t="s">
        <v>2060</v>
      </c>
      <c r="H64" s="2482">
        <v>4045255673</v>
      </c>
      <c r="I64" s="2483"/>
      <c r="J64" s="2598"/>
      <c r="K64" s="1790" t="s">
        <v>2059</v>
      </c>
      <c r="L64" s="2489" t="s">
        <v>4303</v>
      </c>
      <c r="M64" s="2490"/>
      <c r="N64" s="2490"/>
      <c r="O64" s="2490"/>
      <c r="P64" s="2490"/>
      <c r="Q64" s="2490"/>
      <c r="R64" s="2490"/>
      <c r="S64" s="2491"/>
    </row>
    <row r="65" spans="1:19" s="329" customFormat="1" ht="6.6" customHeight="1">
      <c r="D65" s="372"/>
      <c r="E65" s="1793"/>
      <c r="F65" s="1793"/>
      <c r="G65" s="1783"/>
      <c r="H65" s="2599"/>
      <c r="I65" s="2599"/>
      <c r="J65" s="2599"/>
      <c r="K65" s="1790"/>
      <c r="L65" s="2599"/>
      <c r="M65" s="2599"/>
      <c r="N65" s="1786"/>
      <c r="O65" s="1416"/>
      <c r="P65" s="1416"/>
      <c r="Q65" s="1790"/>
      <c r="R65" s="1416"/>
      <c r="S65" s="1416"/>
    </row>
    <row r="66" spans="1:19" s="329" customFormat="1" ht="11.25" customHeight="1">
      <c r="B66" s="331" t="s">
        <v>779</v>
      </c>
      <c r="C66" s="331" t="s">
        <v>1585</v>
      </c>
      <c r="H66" s="2474"/>
      <c r="I66" s="2535"/>
      <c r="J66" s="2535"/>
      <c r="K66" s="2535"/>
      <c r="L66" s="2535"/>
      <c r="M66" s="2535"/>
      <c r="N66" s="2536"/>
      <c r="O66" s="1783" t="s">
        <v>2065</v>
      </c>
      <c r="P66" s="1783"/>
      <c r="Q66" s="2474"/>
      <c r="R66" s="2535"/>
      <c r="S66" s="2536"/>
    </row>
    <row r="67" spans="1:19" s="329" customFormat="1" ht="11.25" customHeight="1">
      <c r="D67" s="372"/>
      <c r="E67" s="334" t="s">
        <v>1058</v>
      </c>
      <c r="F67" s="342"/>
      <c r="H67" s="2474"/>
      <c r="I67" s="2535"/>
      <c r="J67" s="2535"/>
      <c r="K67" s="2535"/>
      <c r="L67" s="2535"/>
      <c r="M67" s="2535"/>
      <c r="N67" s="2536"/>
      <c r="O67" s="1783" t="s">
        <v>1813</v>
      </c>
      <c r="Q67" s="2474"/>
      <c r="R67" s="2535"/>
      <c r="S67" s="2536"/>
    </row>
    <row r="68" spans="1:19" s="329" customFormat="1" ht="11.25" customHeight="1">
      <c r="D68" s="372"/>
      <c r="E68" s="334" t="s">
        <v>642</v>
      </c>
      <c r="H68" s="2474"/>
      <c r="I68" s="2535"/>
      <c r="J68" s="2536"/>
      <c r="K68" s="1784" t="s">
        <v>2809</v>
      </c>
      <c r="L68" s="2474"/>
      <c r="M68" s="2535"/>
      <c r="N68" s="2536"/>
      <c r="O68" s="1783" t="s">
        <v>1869</v>
      </c>
      <c r="Q68" s="2482"/>
      <c r="R68" s="2487"/>
      <c r="S68" s="2483"/>
    </row>
    <row r="69" spans="1:19" s="329" customFormat="1" ht="11.25" customHeight="1">
      <c r="E69" s="334" t="s">
        <v>1865</v>
      </c>
      <c r="H69" s="2488"/>
      <c r="K69" s="1785" t="s">
        <v>2308</v>
      </c>
      <c r="L69" s="2485"/>
      <c r="M69" s="2536"/>
      <c r="O69" s="1783" t="s">
        <v>2054</v>
      </c>
      <c r="Q69" s="2482"/>
      <c r="R69" s="2487"/>
      <c r="S69" s="2483"/>
    </row>
    <row r="70" spans="1:19" s="329" customFormat="1" ht="11.25" customHeight="1">
      <c r="D70" s="372"/>
      <c r="E70" s="334" t="s">
        <v>2060</v>
      </c>
      <c r="H70" s="2482"/>
      <c r="I70" s="2483"/>
      <c r="J70" s="2598"/>
      <c r="K70" s="1790" t="s">
        <v>2059</v>
      </c>
      <c r="L70" s="2489"/>
      <c r="M70" s="2490"/>
      <c r="N70" s="2490"/>
      <c r="O70" s="2490"/>
      <c r="P70" s="2490"/>
      <c r="Q70" s="2490"/>
      <c r="R70" s="2490"/>
      <c r="S70" s="2491"/>
    </row>
    <row r="71" spans="1:19" ht="6.6" customHeight="1">
      <c r="H71" s="2599"/>
      <c r="I71" s="2599"/>
      <c r="J71" s="2599"/>
      <c r="K71" s="1790"/>
      <c r="L71" s="2599"/>
      <c r="M71" s="2599"/>
      <c r="N71" s="1786"/>
      <c r="O71" s="1416"/>
      <c r="P71" s="1416"/>
      <c r="Q71" s="1790"/>
      <c r="R71" s="1416"/>
      <c r="S71" s="1416"/>
    </row>
    <row r="72" spans="1:19" s="329" customFormat="1" ht="11.25" customHeight="1">
      <c r="B72" s="331" t="s">
        <v>2193</v>
      </c>
      <c r="C72" s="331" t="s">
        <v>297</v>
      </c>
      <c r="H72" s="2474"/>
      <c r="I72" s="2535"/>
      <c r="J72" s="2535"/>
      <c r="K72" s="2535"/>
      <c r="L72" s="2535"/>
      <c r="M72" s="2535"/>
      <c r="N72" s="2536"/>
      <c r="O72" s="1783" t="s">
        <v>2065</v>
      </c>
      <c r="P72" s="1783"/>
      <c r="Q72" s="2474"/>
      <c r="R72" s="2535"/>
      <c r="S72" s="2536"/>
    </row>
    <row r="73" spans="1:19" s="329" customFormat="1" ht="11.25" customHeight="1">
      <c r="D73" s="372"/>
      <c r="E73" s="334" t="s">
        <v>1058</v>
      </c>
      <c r="F73" s="342"/>
      <c r="H73" s="2474"/>
      <c r="I73" s="2535"/>
      <c r="J73" s="2535"/>
      <c r="K73" s="2535"/>
      <c r="L73" s="2535"/>
      <c r="M73" s="2535"/>
      <c r="N73" s="2536"/>
      <c r="O73" s="1783" t="s">
        <v>1813</v>
      </c>
      <c r="Q73" s="2474"/>
      <c r="R73" s="2535"/>
      <c r="S73" s="2536"/>
    </row>
    <row r="74" spans="1:19" s="329" customFormat="1" ht="11.25" customHeight="1">
      <c r="D74" s="372"/>
      <c r="E74" s="334" t="s">
        <v>642</v>
      </c>
      <c r="H74" s="2474"/>
      <c r="I74" s="2535"/>
      <c r="J74" s="2536"/>
      <c r="K74" s="1784" t="s">
        <v>2809</v>
      </c>
      <c r="L74" s="2474"/>
      <c r="M74" s="2535"/>
      <c r="N74" s="2536"/>
      <c r="O74" s="1783" t="s">
        <v>1869</v>
      </c>
      <c r="Q74" s="2482"/>
      <c r="R74" s="2487"/>
      <c r="S74" s="2483"/>
    </row>
    <row r="75" spans="1:19" s="329" customFormat="1" ht="11.25" customHeight="1">
      <c r="E75" s="334" t="s">
        <v>1865</v>
      </c>
      <c r="H75" s="2488"/>
      <c r="K75" s="1785" t="s">
        <v>2308</v>
      </c>
      <c r="L75" s="2485"/>
      <c r="M75" s="2536"/>
      <c r="O75" s="1783" t="s">
        <v>2054</v>
      </c>
      <c r="Q75" s="2482"/>
      <c r="R75" s="2487"/>
      <c r="S75" s="2483"/>
    </row>
    <row r="76" spans="1:19" s="329" customFormat="1" ht="11.25" customHeight="1">
      <c r="D76" s="372"/>
      <c r="E76" s="334" t="s">
        <v>2060</v>
      </c>
      <c r="H76" s="2482"/>
      <c r="I76" s="2483"/>
      <c r="J76" s="2598"/>
      <c r="K76" s="1790" t="s">
        <v>2059</v>
      </c>
      <c r="L76" s="2489"/>
      <c r="M76" s="2490"/>
      <c r="N76" s="2490"/>
      <c r="O76" s="2490"/>
      <c r="P76" s="2490"/>
      <c r="Q76" s="2490"/>
      <c r="R76" s="2490"/>
      <c r="S76" s="2491"/>
    </row>
    <row r="77" spans="1:19" ht="6.75" customHeight="1"/>
    <row r="78" spans="1:19" s="334" customFormat="1" ht="13.15" customHeight="1">
      <c r="A78" s="335" t="s">
        <v>772</v>
      </c>
      <c r="B78" s="335" t="s">
        <v>298</v>
      </c>
      <c r="D78" s="335"/>
      <c r="E78" s="1783"/>
      <c r="F78" s="296"/>
      <c r="G78" s="296"/>
      <c r="H78" s="296"/>
      <c r="I78" s="296"/>
      <c r="J78" s="296"/>
      <c r="K78" s="296"/>
      <c r="L78" s="296"/>
      <c r="M78" s="296"/>
    </row>
    <row r="79" spans="1:19" s="334" customFormat="1" ht="3" customHeight="1">
      <c r="A79" s="335"/>
      <c r="B79" s="335"/>
      <c r="D79" s="335"/>
      <c r="E79" s="1783"/>
      <c r="F79" s="296"/>
      <c r="G79" s="296"/>
      <c r="H79" s="2600"/>
      <c r="I79" s="2600"/>
      <c r="J79" s="2600"/>
      <c r="K79" s="1786"/>
      <c r="L79" s="2600"/>
      <c r="M79" s="2600"/>
      <c r="N79" s="1786"/>
      <c r="O79" s="1416"/>
      <c r="P79" s="1416"/>
      <c r="Q79" s="1790"/>
      <c r="R79" s="1416"/>
      <c r="S79" s="1416"/>
    </row>
    <row r="80" spans="1:19" s="329" customFormat="1" ht="11.25" customHeight="1">
      <c r="B80" s="331" t="s">
        <v>2058</v>
      </c>
      <c r="C80" s="331" t="s">
        <v>299</v>
      </c>
      <c r="H80" s="2474"/>
      <c r="I80" s="2535"/>
      <c r="J80" s="2535"/>
      <c r="K80" s="2535"/>
      <c r="L80" s="2535"/>
      <c r="M80" s="2535"/>
      <c r="N80" s="2536"/>
      <c r="O80" s="1783" t="s">
        <v>2065</v>
      </c>
      <c r="P80" s="1783"/>
      <c r="Q80" s="2474"/>
      <c r="R80" s="2535"/>
      <c r="S80" s="2536"/>
    </row>
    <row r="81" spans="2:19" s="329" customFormat="1" ht="11.25" customHeight="1">
      <c r="D81" s="372"/>
      <c r="E81" s="334" t="s">
        <v>1058</v>
      </c>
      <c r="F81" s="342"/>
      <c r="H81" s="2474"/>
      <c r="I81" s="2535"/>
      <c r="J81" s="2535"/>
      <c r="K81" s="2535"/>
      <c r="L81" s="2535"/>
      <c r="M81" s="2535"/>
      <c r="N81" s="2536"/>
      <c r="O81" s="1783" t="s">
        <v>1813</v>
      </c>
      <c r="Q81" s="2474"/>
      <c r="R81" s="2535"/>
      <c r="S81" s="2536"/>
    </row>
    <row r="82" spans="2:19" s="329" customFormat="1" ht="11.25" customHeight="1">
      <c r="D82" s="372"/>
      <c r="E82" s="334" t="s">
        <v>642</v>
      </c>
      <c r="H82" s="2474"/>
      <c r="I82" s="2535"/>
      <c r="J82" s="2536"/>
      <c r="K82" s="1784" t="s">
        <v>2809</v>
      </c>
      <c r="L82" s="2474"/>
      <c r="M82" s="2535"/>
      <c r="N82" s="2536"/>
      <c r="O82" s="1783" t="s">
        <v>1869</v>
      </c>
      <c r="Q82" s="2482"/>
      <c r="R82" s="2487"/>
      <c r="S82" s="2483"/>
    </row>
    <row r="83" spans="2:19" s="329" customFormat="1" ht="11.25" customHeight="1">
      <c r="E83" s="334" t="s">
        <v>1865</v>
      </c>
      <c r="H83" s="2488"/>
      <c r="K83" s="1785" t="s">
        <v>2308</v>
      </c>
      <c r="L83" s="2485"/>
      <c r="M83" s="2536"/>
      <c r="O83" s="1783" t="s">
        <v>2054</v>
      </c>
      <c r="Q83" s="2482"/>
      <c r="R83" s="2487"/>
      <c r="S83" s="2483"/>
    </row>
    <row r="84" spans="2:19" s="329" customFormat="1" ht="11.25" customHeight="1">
      <c r="D84" s="372"/>
      <c r="E84" s="334" t="s">
        <v>2060</v>
      </c>
      <c r="H84" s="2482"/>
      <c r="I84" s="2483"/>
      <c r="J84" s="2598"/>
      <c r="K84" s="1790" t="s">
        <v>2059</v>
      </c>
      <c r="L84" s="2489"/>
      <c r="M84" s="2490"/>
      <c r="N84" s="2490"/>
      <c r="O84" s="2490"/>
      <c r="P84" s="2490"/>
      <c r="Q84" s="2490"/>
      <c r="R84" s="2490"/>
      <c r="S84" s="2491"/>
    </row>
    <row r="85" spans="2:19" ht="6.6" customHeight="1">
      <c r="H85" s="2599"/>
      <c r="I85" s="2599"/>
      <c r="J85" s="2599"/>
      <c r="K85" s="1790"/>
      <c r="L85" s="2599"/>
      <c r="M85" s="2599"/>
      <c r="N85" s="1786"/>
      <c r="O85" s="1416"/>
      <c r="P85" s="1416"/>
      <c r="Q85" s="1790"/>
      <c r="R85" s="1416"/>
      <c r="S85" s="1416"/>
    </row>
    <row r="86" spans="2:19" s="329" customFormat="1" ht="11.25" customHeight="1">
      <c r="B86" s="331" t="s">
        <v>2061</v>
      </c>
      <c r="C86" s="331" t="s">
        <v>300</v>
      </c>
      <c r="H86" s="2474" t="s">
        <v>4311</v>
      </c>
      <c r="I86" s="2535"/>
      <c r="J86" s="2535"/>
      <c r="K86" s="2535"/>
      <c r="L86" s="2535"/>
      <c r="M86" s="2535"/>
      <c r="N86" s="2536"/>
      <c r="O86" s="1783" t="s">
        <v>2065</v>
      </c>
      <c r="P86" s="1783"/>
      <c r="Q86" s="2474" t="s">
        <v>4312</v>
      </c>
      <c r="R86" s="2535"/>
      <c r="S86" s="2536"/>
    </row>
    <row r="87" spans="2:19" s="329" customFormat="1" ht="11.25" customHeight="1">
      <c r="D87" s="372"/>
      <c r="E87" s="334" t="s">
        <v>1058</v>
      </c>
      <c r="F87" s="342"/>
      <c r="H87" s="2474" t="s">
        <v>4314</v>
      </c>
      <c r="I87" s="2535"/>
      <c r="J87" s="2535"/>
      <c r="K87" s="2535"/>
      <c r="L87" s="2535"/>
      <c r="M87" s="2535"/>
      <c r="N87" s="2536"/>
      <c r="O87" s="1783" t="s">
        <v>1813</v>
      </c>
      <c r="Q87" s="2474" t="s">
        <v>4276</v>
      </c>
      <c r="R87" s="2535"/>
      <c r="S87" s="2536"/>
    </row>
    <row r="88" spans="2:19" s="329" customFormat="1" ht="11.25" customHeight="1">
      <c r="D88" s="372"/>
      <c r="E88" s="334" t="s">
        <v>642</v>
      </c>
      <c r="H88" s="2474" t="s">
        <v>391</v>
      </c>
      <c r="I88" s="2535"/>
      <c r="J88" s="2536"/>
      <c r="K88" s="1784" t="s">
        <v>2809</v>
      </c>
      <c r="L88" s="2474" t="s">
        <v>4315</v>
      </c>
      <c r="M88" s="2535"/>
      <c r="N88" s="2536"/>
      <c r="O88" s="1783" t="s">
        <v>1869</v>
      </c>
      <c r="Q88" s="2482">
        <v>7709532659</v>
      </c>
      <c r="R88" s="2487"/>
      <c r="S88" s="2483"/>
    </row>
    <row r="89" spans="2:19" s="329" customFormat="1" ht="11.25" customHeight="1">
      <c r="E89" s="334" t="s">
        <v>1865</v>
      </c>
      <c r="H89" s="2488" t="s">
        <v>880</v>
      </c>
      <c r="K89" s="1785" t="s">
        <v>2308</v>
      </c>
      <c r="L89" s="2485">
        <v>300679214</v>
      </c>
      <c r="M89" s="2536"/>
      <c r="O89" s="1783" t="s">
        <v>2054</v>
      </c>
      <c r="Q89" s="2482">
        <v>7706758089</v>
      </c>
      <c r="R89" s="2487"/>
      <c r="S89" s="2483"/>
    </row>
    <row r="90" spans="2:19" s="329" customFormat="1" ht="11.25" customHeight="1">
      <c r="D90" s="372"/>
      <c r="E90" s="334" t="s">
        <v>2060</v>
      </c>
      <c r="H90" s="2482">
        <v>7709532659</v>
      </c>
      <c r="I90" s="2483"/>
      <c r="J90" s="2598">
        <v>249</v>
      </c>
      <c r="K90" s="1790" t="s">
        <v>2059</v>
      </c>
      <c r="L90" s="2489" t="s">
        <v>4313</v>
      </c>
      <c r="M90" s="2490"/>
      <c r="N90" s="2490"/>
      <c r="O90" s="2490"/>
      <c r="P90" s="2490"/>
      <c r="Q90" s="2490"/>
      <c r="R90" s="2490"/>
      <c r="S90" s="2491"/>
    </row>
    <row r="91" spans="2:19" ht="6.6" customHeight="1">
      <c r="H91" s="2599"/>
      <c r="I91" s="2599"/>
      <c r="J91" s="2599"/>
      <c r="K91" s="1790"/>
      <c r="L91" s="2599"/>
      <c r="M91" s="2599"/>
      <c r="N91" s="1786"/>
      <c r="O91" s="1416"/>
      <c r="P91" s="1416"/>
      <c r="Q91" s="1790"/>
      <c r="R91" s="1416"/>
      <c r="S91" s="1416"/>
    </row>
    <row r="92" spans="2:19" s="329" customFormat="1" ht="11.25" customHeight="1">
      <c r="B92" s="331" t="s">
        <v>779</v>
      </c>
      <c r="C92" s="331" t="s">
        <v>301</v>
      </c>
      <c r="F92" s="348"/>
      <c r="H92" s="2474" t="s">
        <v>4269</v>
      </c>
      <c r="I92" s="2535"/>
      <c r="J92" s="2535"/>
      <c r="K92" s="2535"/>
      <c r="L92" s="2535"/>
      <c r="M92" s="2535"/>
      <c r="N92" s="2536"/>
      <c r="O92" s="1783" t="s">
        <v>2065</v>
      </c>
      <c r="P92" s="1783"/>
      <c r="Q92" s="2474" t="s">
        <v>4272</v>
      </c>
      <c r="R92" s="2535"/>
      <c r="S92" s="2536"/>
    </row>
    <row r="93" spans="2:19" s="329" customFormat="1" ht="11.25" customHeight="1">
      <c r="D93" s="372"/>
      <c r="E93" s="334" t="s">
        <v>1058</v>
      </c>
      <c r="F93" s="342"/>
      <c r="H93" s="2474" t="s">
        <v>4250</v>
      </c>
      <c r="I93" s="2535"/>
      <c r="J93" s="2535"/>
      <c r="K93" s="2535"/>
      <c r="L93" s="2535"/>
      <c r="M93" s="2535"/>
      <c r="N93" s="2536"/>
      <c r="O93" s="1783" t="s">
        <v>1813</v>
      </c>
      <c r="Q93" s="2474" t="s">
        <v>4273</v>
      </c>
      <c r="R93" s="2535"/>
      <c r="S93" s="2536"/>
    </row>
    <row r="94" spans="2:19" s="329" customFormat="1" ht="11.25" customHeight="1">
      <c r="D94" s="372"/>
      <c r="E94" s="334" t="s">
        <v>642</v>
      </c>
      <c r="H94" s="2474" t="s">
        <v>1251</v>
      </c>
      <c r="I94" s="2535"/>
      <c r="J94" s="2536"/>
      <c r="K94" s="1784" t="s">
        <v>2809</v>
      </c>
      <c r="L94" s="2474" t="s">
        <v>4270</v>
      </c>
      <c r="M94" s="2535"/>
      <c r="N94" s="2536"/>
      <c r="O94" s="1783" t="s">
        <v>1869</v>
      </c>
      <c r="Q94" s="2482">
        <v>6785145901</v>
      </c>
      <c r="R94" s="2487"/>
      <c r="S94" s="2483"/>
    </row>
    <row r="95" spans="2:19" s="329" customFormat="1" ht="11.25" customHeight="1">
      <c r="D95" s="372"/>
      <c r="E95" s="334" t="s">
        <v>1865</v>
      </c>
      <c r="H95" s="2488" t="s">
        <v>880</v>
      </c>
      <c r="K95" s="1785" t="s">
        <v>2308</v>
      </c>
      <c r="L95" s="2485">
        <v>303282589</v>
      </c>
      <c r="M95" s="2536"/>
      <c r="O95" s="1783" t="s">
        <v>2054</v>
      </c>
      <c r="Q95" s="2482">
        <v>7703292334</v>
      </c>
      <c r="R95" s="2487"/>
      <c r="S95" s="2483"/>
    </row>
    <row r="96" spans="2:19" s="329" customFormat="1" ht="11.25" customHeight="1">
      <c r="D96" s="372"/>
      <c r="E96" s="334" t="s">
        <v>2060</v>
      </c>
      <c r="H96" s="2482">
        <v>6785145900</v>
      </c>
      <c r="I96" s="2483"/>
      <c r="J96" s="2598"/>
      <c r="K96" s="1790" t="s">
        <v>2059</v>
      </c>
      <c r="L96" s="2489" t="s">
        <v>4271</v>
      </c>
      <c r="M96" s="2490"/>
      <c r="N96" s="2490"/>
      <c r="O96" s="2490"/>
      <c r="P96" s="2490"/>
      <c r="Q96" s="2490"/>
      <c r="R96" s="2490"/>
      <c r="S96" s="2491"/>
    </row>
    <row r="97" spans="2:19" ht="6.6" customHeight="1">
      <c r="H97" s="2599"/>
      <c r="I97" s="2599"/>
      <c r="J97" s="2599"/>
      <c r="K97" s="1790"/>
      <c r="L97" s="2599"/>
      <c r="M97" s="2599"/>
      <c r="N97" s="1786"/>
      <c r="O97" s="1416"/>
      <c r="P97" s="1416"/>
      <c r="Q97" s="1790"/>
      <c r="R97" s="1416"/>
      <c r="S97" s="1416"/>
    </row>
    <row r="98" spans="2:19" s="329" customFormat="1" ht="11.25" customHeight="1">
      <c r="B98" s="331" t="s">
        <v>2193</v>
      </c>
      <c r="C98" s="331" t="s">
        <v>302</v>
      </c>
      <c r="H98" s="2474" t="s">
        <v>4258</v>
      </c>
      <c r="I98" s="2535"/>
      <c r="J98" s="2535"/>
      <c r="K98" s="2535"/>
      <c r="L98" s="2535"/>
      <c r="M98" s="2535"/>
      <c r="N98" s="2536"/>
      <c r="O98" s="1783" t="s">
        <v>2065</v>
      </c>
      <c r="P98" s="1783"/>
      <c r="Q98" s="2474" t="s">
        <v>4262</v>
      </c>
      <c r="R98" s="2535"/>
      <c r="S98" s="2536"/>
    </row>
    <row r="99" spans="2:19" s="329" customFormat="1" ht="11.25" customHeight="1">
      <c r="D99" s="372"/>
      <c r="E99" s="334" t="s">
        <v>1058</v>
      </c>
      <c r="F99" s="342"/>
      <c r="H99" s="2474" t="s">
        <v>4259</v>
      </c>
      <c r="I99" s="2535"/>
      <c r="J99" s="2535"/>
      <c r="K99" s="2535"/>
      <c r="L99" s="2535"/>
      <c r="M99" s="2535"/>
      <c r="N99" s="2536"/>
      <c r="O99" s="1783" t="s">
        <v>1813</v>
      </c>
      <c r="Q99" s="2474" t="s">
        <v>4263</v>
      </c>
      <c r="R99" s="2535"/>
      <c r="S99" s="2536"/>
    </row>
    <row r="100" spans="2:19" s="329" customFormat="1" ht="11.25" customHeight="1">
      <c r="D100" s="372"/>
      <c r="E100" s="334" t="s">
        <v>642</v>
      </c>
      <c r="H100" s="2474" t="s">
        <v>1251</v>
      </c>
      <c r="I100" s="2535"/>
      <c r="J100" s="2536"/>
      <c r="K100" s="1784" t="s">
        <v>2809</v>
      </c>
      <c r="L100" s="2474" t="s">
        <v>4260</v>
      </c>
      <c r="M100" s="2535"/>
      <c r="N100" s="2536"/>
      <c r="O100" s="1783" t="s">
        <v>1869</v>
      </c>
      <c r="Q100" s="2482">
        <v>4048738708</v>
      </c>
      <c r="R100" s="2487"/>
      <c r="S100" s="2483"/>
    </row>
    <row r="101" spans="2:19" s="329" customFormat="1" ht="11.25" customHeight="1">
      <c r="D101" s="372"/>
      <c r="E101" s="334" t="s">
        <v>1865</v>
      </c>
      <c r="H101" s="2488" t="s">
        <v>880</v>
      </c>
      <c r="K101" s="1785" t="s">
        <v>2308</v>
      </c>
      <c r="L101" s="2485">
        <v>303631031</v>
      </c>
      <c r="M101" s="2536"/>
      <c r="O101" s="1783" t="s">
        <v>2054</v>
      </c>
      <c r="Q101" s="2482">
        <v>4042810723</v>
      </c>
      <c r="R101" s="2487"/>
      <c r="S101" s="2483"/>
    </row>
    <row r="102" spans="2:19" ht="11.25" customHeight="1">
      <c r="E102" s="334" t="s">
        <v>2060</v>
      </c>
      <c r="F102" s="329"/>
      <c r="G102" s="329"/>
      <c r="H102" s="2482">
        <v>4048738500</v>
      </c>
      <c r="I102" s="2483"/>
      <c r="J102" s="2598"/>
      <c r="K102" s="1790" t="s">
        <v>2059</v>
      </c>
      <c r="L102" s="2489" t="s">
        <v>4261</v>
      </c>
      <c r="M102" s="2490"/>
      <c r="N102" s="2490"/>
      <c r="O102" s="2490"/>
      <c r="P102" s="2490"/>
      <c r="Q102" s="2490"/>
      <c r="R102" s="2490"/>
      <c r="S102" s="2491"/>
    </row>
    <row r="103" spans="2:19" ht="6" customHeight="1">
      <c r="E103" s="334"/>
      <c r="F103" s="329"/>
      <c r="G103" s="329"/>
      <c r="H103" s="329"/>
      <c r="I103" s="329"/>
      <c r="J103" s="329"/>
      <c r="K103" s="329"/>
      <c r="L103" s="329"/>
      <c r="M103" s="329"/>
      <c r="N103" s="329"/>
      <c r="O103" s="329"/>
      <c r="P103" s="329"/>
      <c r="Q103" s="1790"/>
      <c r="R103" s="1790"/>
      <c r="S103" s="2601"/>
    </row>
    <row r="104" spans="2:19" ht="0.6" customHeight="1">
      <c r="E104" s="334"/>
      <c r="F104" s="329"/>
      <c r="G104" s="1793"/>
      <c r="H104" s="2600"/>
      <c r="I104" s="2600"/>
      <c r="J104" s="2600"/>
      <c r="K104" s="1786"/>
      <c r="L104" s="2600"/>
      <c r="M104" s="2600"/>
      <c r="N104" s="1786"/>
      <c r="O104" s="1416"/>
      <c r="P104" s="1416"/>
      <c r="Q104" s="1790"/>
      <c r="R104" s="1416"/>
      <c r="S104" s="1416"/>
    </row>
    <row r="105" spans="2:19" s="329" customFormat="1" ht="11.25" customHeight="1">
      <c r="B105" s="331" t="s">
        <v>1801</v>
      </c>
      <c r="C105" s="331" t="s">
        <v>303</v>
      </c>
      <c r="H105" s="2474" t="s">
        <v>4264</v>
      </c>
      <c r="I105" s="2535"/>
      <c r="J105" s="2535"/>
      <c r="K105" s="2535"/>
      <c r="L105" s="2535"/>
      <c r="M105" s="2535"/>
      <c r="N105" s="2536"/>
      <c r="O105" s="1783" t="s">
        <v>2065</v>
      </c>
      <c r="P105" s="1783"/>
      <c r="Q105" s="2474" t="s">
        <v>4268</v>
      </c>
      <c r="R105" s="2535"/>
      <c r="S105" s="2536"/>
    </row>
    <row r="106" spans="2:19" s="329" customFormat="1" ht="11.25" customHeight="1">
      <c r="D106" s="372"/>
      <c r="E106" s="334" t="s">
        <v>1058</v>
      </c>
      <c r="F106" s="342"/>
      <c r="H106" s="2474" t="s">
        <v>4265</v>
      </c>
      <c r="I106" s="2535"/>
      <c r="J106" s="2535"/>
      <c r="K106" s="2535"/>
      <c r="L106" s="2535"/>
      <c r="M106" s="2535"/>
      <c r="N106" s="2536"/>
      <c r="O106" s="1783" t="s">
        <v>1813</v>
      </c>
      <c r="Q106" s="2474" t="s">
        <v>4263</v>
      </c>
      <c r="R106" s="2535"/>
      <c r="S106" s="2536"/>
    </row>
    <row r="107" spans="2:19" s="329" customFormat="1" ht="11.25" customHeight="1">
      <c r="D107" s="372"/>
      <c r="E107" s="334" t="s">
        <v>642</v>
      </c>
      <c r="H107" s="2474" t="s">
        <v>1251</v>
      </c>
      <c r="I107" s="2535"/>
      <c r="J107" s="2536"/>
      <c r="K107" s="1784" t="s">
        <v>2809</v>
      </c>
      <c r="L107" s="2474" t="s">
        <v>4266</v>
      </c>
      <c r="M107" s="2535"/>
      <c r="N107" s="2536"/>
      <c r="O107" s="1783" t="s">
        <v>1869</v>
      </c>
      <c r="Q107" s="2482">
        <v>4048477640</v>
      </c>
      <c r="R107" s="2487"/>
      <c r="S107" s="2483"/>
    </row>
    <row r="108" spans="2:19" s="329" customFormat="1" ht="11.25" customHeight="1">
      <c r="D108" s="372"/>
      <c r="E108" s="334" t="s">
        <v>1865</v>
      </c>
      <c r="H108" s="2488" t="s">
        <v>880</v>
      </c>
      <c r="K108" s="1785" t="s">
        <v>2308</v>
      </c>
      <c r="L108" s="2485">
        <v>303264276</v>
      </c>
      <c r="M108" s="2536"/>
      <c r="O108" s="1783" t="s">
        <v>2054</v>
      </c>
      <c r="Q108" s="2482">
        <v>4044325113</v>
      </c>
      <c r="R108" s="2487"/>
      <c r="S108" s="2483"/>
    </row>
    <row r="109" spans="2:19" ht="11.25" customHeight="1">
      <c r="E109" s="334" t="s">
        <v>2060</v>
      </c>
      <c r="F109" s="329"/>
      <c r="G109" s="329"/>
      <c r="H109" s="2482">
        <v>4048479447</v>
      </c>
      <c r="I109" s="2483"/>
      <c r="J109" s="2598"/>
      <c r="K109" s="1790" t="s">
        <v>2059</v>
      </c>
      <c r="L109" s="2489" t="s">
        <v>4267</v>
      </c>
      <c r="M109" s="2490"/>
      <c r="N109" s="2490"/>
      <c r="O109" s="2490"/>
      <c r="P109" s="2490"/>
      <c r="Q109" s="2490"/>
      <c r="R109" s="2490"/>
      <c r="S109" s="2491"/>
    </row>
    <row r="110" spans="2:19" ht="6.6" customHeight="1">
      <c r="E110" s="334"/>
      <c r="F110" s="329"/>
      <c r="G110" s="1793"/>
      <c r="H110" s="2599"/>
      <c r="I110" s="2599"/>
      <c r="J110" s="2599"/>
      <c r="K110" s="1790"/>
      <c r="L110" s="2599"/>
      <c r="M110" s="2599"/>
      <c r="N110" s="1786"/>
      <c r="O110" s="1416"/>
      <c r="P110" s="1416"/>
      <c r="Q110" s="1790"/>
      <c r="R110" s="1416"/>
      <c r="S110" s="1416"/>
    </row>
    <row r="111" spans="2:19" s="329" customFormat="1" ht="11.25" customHeight="1">
      <c r="B111" s="331" t="s">
        <v>1802</v>
      </c>
      <c r="C111" s="331" t="s">
        <v>304</v>
      </c>
      <c r="H111" s="2474" t="s">
        <v>4321</v>
      </c>
      <c r="I111" s="2535"/>
      <c r="J111" s="2535"/>
      <c r="K111" s="2535"/>
      <c r="L111" s="2535"/>
      <c r="M111" s="2535"/>
      <c r="N111" s="2536"/>
      <c r="O111" s="1783" t="s">
        <v>2065</v>
      </c>
      <c r="P111" s="1783"/>
      <c r="Q111" s="2474" t="s">
        <v>4322</v>
      </c>
      <c r="R111" s="2535"/>
      <c r="S111" s="2536"/>
    </row>
    <row r="112" spans="2:19" s="329" customFormat="1" ht="11.25" customHeight="1">
      <c r="D112" s="372"/>
      <c r="E112" s="334" t="s">
        <v>1058</v>
      </c>
      <c r="F112" s="342"/>
      <c r="H112" s="2474" t="s">
        <v>4318</v>
      </c>
      <c r="I112" s="2535"/>
      <c r="J112" s="2535"/>
      <c r="K112" s="2535"/>
      <c r="L112" s="2535"/>
      <c r="M112" s="2535"/>
      <c r="N112" s="2536"/>
      <c r="O112" s="1783" t="s">
        <v>1813</v>
      </c>
      <c r="Q112" s="2474" t="s">
        <v>2560</v>
      </c>
      <c r="R112" s="2535"/>
      <c r="S112" s="2536"/>
    </row>
    <row r="113" spans="1:19" s="329" customFormat="1" ht="11.25" customHeight="1">
      <c r="D113" s="372"/>
      <c r="E113" s="334" t="s">
        <v>642</v>
      </c>
      <c r="H113" s="2474" t="s">
        <v>1251</v>
      </c>
      <c r="I113" s="2535"/>
      <c r="J113" s="2536"/>
      <c r="K113" s="1784" t="s">
        <v>2809</v>
      </c>
      <c r="L113" s="2474" t="s">
        <v>4317</v>
      </c>
      <c r="M113" s="2535"/>
      <c r="N113" s="2536"/>
      <c r="O113" s="1783" t="s">
        <v>1869</v>
      </c>
      <c r="Q113" s="2482">
        <v>4048736730</v>
      </c>
      <c r="R113" s="2487"/>
      <c r="S113" s="2483"/>
    </row>
    <row r="114" spans="1:19" s="329" customFormat="1" ht="11.25" customHeight="1">
      <c r="D114" s="376"/>
      <c r="E114" s="334" t="s">
        <v>1865</v>
      </c>
      <c r="H114" s="2488" t="s">
        <v>880</v>
      </c>
      <c r="K114" s="1785" t="s">
        <v>2308</v>
      </c>
      <c r="L114" s="2485">
        <v>303093038</v>
      </c>
      <c r="M114" s="2536"/>
      <c r="O114" s="1783" t="s">
        <v>2054</v>
      </c>
      <c r="Q114" s="2482">
        <v>4047880005</v>
      </c>
      <c r="R114" s="2487"/>
      <c r="S114" s="2483"/>
    </row>
    <row r="115" spans="1:19" s="329" customFormat="1" ht="11.25" customHeight="1">
      <c r="D115" s="376"/>
      <c r="E115" s="334" t="s">
        <v>2060</v>
      </c>
      <c r="H115" s="2482">
        <v>4048736730</v>
      </c>
      <c r="I115" s="2483"/>
      <c r="J115" s="2598">
        <v>119</v>
      </c>
      <c r="K115" s="1790" t="s">
        <v>2059</v>
      </c>
      <c r="L115" s="2489" t="s">
        <v>4323</v>
      </c>
      <c r="M115" s="2490"/>
      <c r="N115" s="2490"/>
      <c r="O115" s="2490"/>
      <c r="P115" s="2490"/>
      <c r="Q115" s="2490"/>
      <c r="R115" s="2490"/>
      <c r="S115" s="2491"/>
    </row>
    <row r="116" spans="1:19" ht="4.5" customHeight="1"/>
    <row r="117" spans="1:19" s="329" customFormat="1" ht="13.15" customHeight="1">
      <c r="A117" s="331" t="s">
        <v>1858</v>
      </c>
      <c r="B117" s="331" t="s">
        <v>2691</v>
      </c>
      <c r="F117" s="331"/>
      <c r="G117" s="1790"/>
      <c r="H117" s="1790"/>
      <c r="I117" s="1790"/>
      <c r="J117" s="1790"/>
      <c r="K117" s="1790"/>
      <c r="L117" s="1790"/>
      <c r="M117" s="1790"/>
      <c r="N117" s="1790"/>
      <c r="O117" s="1790"/>
      <c r="P117" s="1790"/>
      <c r="Q117" s="1784"/>
    </row>
    <row r="118" spans="1:19" s="329" customFormat="1" ht="11.25" customHeight="1">
      <c r="B118" s="331" t="s">
        <v>2058</v>
      </c>
      <c r="C118" s="331" t="s">
        <v>3870</v>
      </c>
      <c r="H118" s="2492" t="s">
        <v>4300</v>
      </c>
      <c r="I118" s="2493"/>
      <c r="J118" s="2494"/>
      <c r="K118" s="1790" t="s">
        <v>2560</v>
      </c>
      <c r="L118" s="2474" t="s">
        <v>4316</v>
      </c>
      <c r="M118" s="2535"/>
      <c r="N118" s="2536"/>
      <c r="O118" s="334" t="s">
        <v>3871</v>
      </c>
      <c r="Q118" s="2474">
        <v>4049647508</v>
      </c>
      <c r="R118" s="2535"/>
      <c r="S118" s="2536"/>
    </row>
    <row r="119" spans="1:19" s="329" customFormat="1" ht="11.25" customHeight="1">
      <c r="D119" s="372"/>
      <c r="E119" s="334" t="s">
        <v>1058</v>
      </c>
      <c r="F119" s="342"/>
      <c r="H119" s="2474" t="s">
        <v>4253</v>
      </c>
      <c r="I119" s="2535"/>
      <c r="J119" s="2535"/>
      <c r="K119" s="2535"/>
      <c r="L119" s="2535"/>
      <c r="M119" s="2535"/>
      <c r="N119" s="2536"/>
      <c r="O119" s="334" t="s">
        <v>642</v>
      </c>
      <c r="Q119" s="2474" t="s">
        <v>1251</v>
      </c>
      <c r="R119" s="2535"/>
      <c r="S119" s="2536"/>
    </row>
    <row r="120" spans="1:19" s="329" customFormat="1" ht="11.25" customHeight="1">
      <c r="D120" s="372"/>
      <c r="E120" s="334" t="s">
        <v>1865</v>
      </c>
      <c r="H120" s="2488" t="s">
        <v>880</v>
      </c>
      <c r="I120" s="1785" t="s">
        <v>2308</v>
      </c>
      <c r="J120" s="2485">
        <v>303121517</v>
      </c>
      <c r="K120" s="2536"/>
      <c r="L120" s="1790" t="s">
        <v>2059</v>
      </c>
      <c r="M120" s="2489" t="s">
        <v>4303</v>
      </c>
      <c r="N120" s="2490"/>
      <c r="O120" s="2490"/>
      <c r="P120" s="2490"/>
      <c r="Q120" s="2490"/>
      <c r="R120" s="2490"/>
      <c r="S120" s="2491"/>
    </row>
    <row r="121" spans="1:19" ht="12" customHeight="1">
      <c r="B121" s="331" t="s">
        <v>2061</v>
      </c>
      <c r="C121" s="331" t="s">
        <v>2974</v>
      </c>
      <c r="H121" s="1412"/>
      <c r="I121" s="1412"/>
      <c r="J121" s="1412"/>
      <c r="K121" s="1412"/>
      <c r="L121" s="1412"/>
      <c r="M121" s="1412"/>
      <c r="N121" s="1412"/>
      <c r="O121" s="1412"/>
      <c r="P121" s="1412"/>
      <c r="Q121" s="1412"/>
      <c r="R121" s="1412"/>
      <c r="S121" s="1412"/>
    </row>
    <row r="122" spans="1:19" ht="11.25" customHeight="1">
      <c r="A122" s="1890" t="s">
        <v>3686</v>
      </c>
      <c r="B122" s="1890"/>
      <c r="C122" s="1890"/>
      <c r="D122" s="1890"/>
      <c r="E122" s="1891"/>
      <c r="F122" s="2602" t="s">
        <v>2597</v>
      </c>
      <c r="G122" s="2603" t="s">
        <v>3747</v>
      </c>
      <c r="H122" s="2604"/>
      <c r="I122" s="2604"/>
      <c r="J122" s="2604"/>
      <c r="K122" s="2604"/>
      <c r="L122" s="2604"/>
      <c r="M122" s="2604"/>
      <c r="N122" s="2604"/>
      <c r="O122" s="2604"/>
      <c r="P122" s="2604"/>
      <c r="Q122" s="2604"/>
      <c r="R122" s="2604"/>
      <c r="S122" s="2605"/>
    </row>
    <row r="123" spans="1:19" s="329" customFormat="1" ht="31.5" customHeight="1">
      <c r="B123" s="577"/>
      <c r="C123" s="816" t="s">
        <v>2062</v>
      </c>
      <c r="D123" s="1873" t="s">
        <v>2975</v>
      </c>
      <c r="E123" s="1874"/>
      <c r="F123" s="2606" t="s">
        <v>3157</v>
      </c>
      <c r="G123" s="2607"/>
      <c r="H123" s="2608"/>
      <c r="I123" s="2608"/>
      <c r="J123" s="2608"/>
      <c r="K123" s="2608"/>
      <c r="L123" s="2608"/>
      <c r="M123" s="2608"/>
      <c r="N123" s="2608"/>
      <c r="O123" s="2608"/>
      <c r="P123" s="2608"/>
      <c r="Q123" s="2608"/>
      <c r="R123" s="2608"/>
      <c r="S123" s="2609"/>
    </row>
    <row r="124" spans="1:19" s="329" customFormat="1" ht="31.5" customHeight="1">
      <c r="B124" s="577"/>
      <c r="C124" s="816" t="s">
        <v>2064</v>
      </c>
      <c r="D124" s="1873" t="s">
        <v>3046</v>
      </c>
      <c r="E124" s="1874"/>
      <c r="F124" s="2610" t="s">
        <v>3154</v>
      </c>
      <c r="G124" s="2611" t="s">
        <v>4319</v>
      </c>
      <c r="H124" s="2612"/>
      <c r="I124" s="2612"/>
      <c r="J124" s="2612"/>
      <c r="K124" s="2612"/>
      <c r="L124" s="2612"/>
      <c r="M124" s="2612"/>
      <c r="N124" s="2612"/>
      <c r="O124" s="2612"/>
      <c r="P124" s="2612"/>
      <c r="Q124" s="2612"/>
      <c r="R124" s="2612"/>
      <c r="S124" s="2613"/>
    </row>
    <row r="125" spans="1:19" s="329" customFormat="1" ht="31.5" customHeight="1">
      <c r="B125" s="577"/>
      <c r="C125" s="816" t="s">
        <v>2622</v>
      </c>
      <c r="D125" s="1873" t="s">
        <v>3018</v>
      </c>
      <c r="E125" s="1874"/>
      <c r="F125" s="2610" t="s">
        <v>3157</v>
      </c>
      <c r="G125" s="2611"/>
      <c r="H125" s="2612"/>
      <c r="I125" s="2612"/>
      <c r="J125" s="2612"/>
      <c r="K125" s="2612"/>
      <c r="L125" s="2612"/>
      <c r="M125" s="2612"/>
      <c r="N125" s="2612"/>
      <c r="O125" s="2612"/>
      <c r="P125" s="2612"/>
      <c r="Q125" s="2612"/>
      <c r="R125" s="2612"/>
      <c r="S125" s="2613"/>
    </row>
    <row r="126" spans="1:19" s="329" customFormat="1" ht="31.5" customHeight="1">
      <c r="B126" s="577"/>
      <c r="C126" s="816" t="s">
        <v>1270</v>
      </c>
      <c r="D126" s="1873" t="s">
        <v>2976</v>
      </c>
      <c r="E126" s="1874"/>
      <c r="F126" s="2610" t="s">
        <v>3157</v>
      </c>
      <c r="G126" s="2611"/>
      <c r="H126" s="2612"/>
      <c r="I126" s="2612"/>
      <c r="J126" s="2612"/>
      <c r="K126" s="2612"/>
      <c r="L126" s="2612"/>
      <c r="M126" s="2612"/>
      <c r="N126" s="2612"/>
      <c r="O126" s="2612"/>
      <c r="P126" s="2612"/>
      <c r="Q126" s="2612"/>
      <c r="R126" s="2612"/>
      <c r="S126" s="2613"/>
    </row>
    <row r="127" spans="1:19" s="329" customFormat="1" ht="31.5" customHeight="1">
      <c r="B127" s="577"/>
      <c r="C127" s="816" t="s">
        <v>1271</v>
      </c>
      <c r="D127" s="1873" t="s">
        <v>3726</v>
      </c>
      <c r="E127" s="1874"/>
      <c r="F127" s="2610" t="s">
        <v>3157</v>
      </c>
      <c r="G127" s="2611"/>
      <c r="H127" s="2612"/>
      <c r="I127" s="2612"/>
      <c r="J127" s="2612"/>
      <c r="K127" s="2612"/>
      <c r="L127" s="2612"/>
      <c r="M127" s="2612"/>
      <c r="N127" s="2612"/>
      <c r="O127" s="2612"/>
      <c r="P127" s="2612"/>
      <c r="Q127" s="2612"/>
      <c r="R127" s="2612"/>
      <c r="S127" s="2613"/>
    </row>
    <row r="128" spans="1:19" s="329" customFormat="1" ht="31.5" customHeight="1">
      <c r="B128" s="577"/>
      <c r="C128" s="816" t="s">
        <v>1955</v>
      </c>
      <c r="D128" s="1873" t="s">
        <v>3727</v>
      </c>
      <c r="E128" s="1874"/>
      <c r="F128" s="2610" t="s">
        <v>3157</v>
      </c>
      <c r="G128" s="2611"/>
      <c r="H128" s="2612"/>
      <c r="I128" s="2612"/>
      <c r="J128" s="2612"/>
      <c r="K128" s="2612"/>
      <c r="L128" s="2612"/>
      <c r="M128" s="2612"/>
      <c r="N128" s="2612"/>
      <c r="O128" s="2612"/>
      <c r="P128" s="2612"/>
      <c r="Q128" s="2612"/>
      <c r="R128" s="2612"/>
      <c r="S128" s="2613"/>
    </row>
    <row r="129" spans="1:19" s="329" customFormat="1" ht="31.5" customHeight="1">
      <c r="B129" s="577"/>
      <c r="C129" s="816" t="s">
        <v>521</v>
      </c>
      <c r="D129" s="1873" t="s">
        <v>2977</v>
      </c>
      <c r="E129" s="1874"/>
      <c r="F129" s="2610" t="s">
        <v>3157</v>
      </c>
      <c r="G129" s="2611"/>
      <c r="H129" s="2612"/>
      <c r="I129" s="2612"/>
      <c r="J129" s="2612"/>
      <c r="K129" s="2612"/>
      <c r="L129" s="2612"/>
      <c r="M129" s="2612"/>
      <c r="N129" s="2612"/>
      <c r="O129" s="2612"/>
      <c r="P129" s="2612"/>
      <c r="Q129" s="2612"/>
      <c r="R129" s="2612"/>
      <c r="S129" s="2613"/>
    </row>
    <row r="130" spans="1:19" s="329" customFormat="1" ht="31.5" customHeight="1">
      <c r="B130" s="577"/>
      <c r="C130" s="816" t="s">
        <v>522</v>
      </c>
      <c r="D130" s="1873" t="s">
        <v>1659</v>
      </c>
      <c r="E130" s="1874"/>
      <c r="F130" s="2614" t="s">
        <v>3154</v>
      </c>
      <c r="G130" s="2615" t="s">
        <v>4320</v>
      </c>
      <c r="H130" s="2616"/>
      <c r="I130" s="2616"/>
      <c r="J130" s="2616"/>
      <c r="K130" s="2616"/>
      <c r="L130" s="2616"/>
      <c r="M130" s="2616"/>
      <c r="N130" s="2616"/>
      <c r="O130" s="2616"/>
      <c r="P130" s="2616"/>
      <c r="Q130" s="2616"/>
      <c r="R130" s="2616"/>
      <c r="S130" s="2617"/>
    </row>
    <row r="131" spans="1:19" s="329" customFormat="1" ht="13.15" customHeight="1">
      <c r="A131" s="331" t="s">
        <v>1858</v>
      </c>
      <c r="B131" s="331" t="s">
        <v>2987</v>
      </c>
      <c r="F131" s="331"/>
      <c r="G131" s="1790"/>
      <c r="H131" s="1790"/>
      <c r="I131" s="1790"/>
      <c r="J131" s="1790"/>
      <c r="K131" s="1790"/>
      <c r="L131" s="1790"/>
      <c r="M131" s="1790"/>
      <c r="N131" s="1790"/>
      <c r="O131" s="1790"/>
      <c r="P131" s="1790"/>
      <c r="Q131" s="1784"/>
    </row>
    <row r="132" spans="1:19" s="329" customFormat="1" ht="2.25" customHeight="1">
      <c r="A132" s="331"/>
      <c r="B132" s="331"/>
      <c r="F132" s="331"/>
      <c r="G132" s="1790"/>
      <c r="H132" s="1790"/>
      <c r="I132" s="1790"/>
      <c r="J132" s="1790"/>
      <c r="K132" s="1790"/>
      <c r="L132" s="1790"/>
      <c r="M132" s="1790"/>
      <c r="N132" s="1790"/>
      <c r="O132" s="1790"/>
      <c r="P132" s="1790"/>
      <c r="Q132" s="1784"/>
    </row>
    <row r="133" spans="1:19" ht="13.15" customHeight="1">
      <c r="B133" s="331" t="s">
        <v>779</v>
      </c>
      <c r="C133" s="331" t="s">
        <v>2978</v>
      </c>
    </row>
    <row r="134" spans="1:19" s="329" customFormat="1" ht="13.5" customHeight="1">
      <c r="A134" s="1901" t="s">
        <v>664</v>
      </c>
      <c r="B134" s="1902"/>
      <c r="C134" s="1902"/>
      <c r="D134" s="1902"/>
      <c r="E134" s="1884" t="s">
        <v>3692</v>
      </c>
      <c r="F134" s="1885"/>
      <c r="G134" s="1885"/>
      <c r="H134" s="1885"/>
      <c r="I134" s="1886"/>
      <c r="J134" s="1881" t="s">
        <v>3693</v>
      </c>
      <c r="K134" s="1869" t="s">
        <v>3065</v>
      </c>
      <c r="L134" s="1869" t="s">
        <v>3066</v>
      </c>
      <c r="M134" s="1875" t="s">
        <v>3709</v>
      </c>
      <c r="N134" s="1876"/>
      <c r="O134" s="1876"/>
      <c r="P134" s="1876"/>
      <c r="Q134" s="1876"/>
      <c r="R134" s="1876"/>
      <c r="S134" s="1877"/>
    </row>
    <row r="135" spans="1:19" s="329" customFormat="1" ht="13.5" customHeight="1">
      <c r="A135" s="1903"/>
      <c r="B135" s="1904"/>
      <c r="C135" s="1904"/>
      <c r="D135" s="1904"/>
      <c r="E135" s="1887"/>
      <c r="F135" s="1888"/>
      <c r="G135" s="1888"/>
      <c r="H135" s="1888"/>
      <c r="I135" s="1889"/>
      <c r="J135" s="1882"/>
      <c r="K135" s="1870"/>
      <c r="L135" s="1870"/>
      <c r="M135" s="1878"/>
      <c r="N135" s="1879"/>
      <c r="O135" s="1879"/>
      <c r="P135" s="1879"/>
      <c r="Q135" s="1879"/>
      <c r="R135" s="1879"/>
      <c r="S135" s="1880"/>
    </row>
    <row r="136" spans="1:19" s="329" customFormat="1" ht="13.5" customHeight="1">
      <c r="A136" s="1903"/>
      <c r="B136" s="1904"/>
      <c r="C136" s="1904"/>
      <c r="D136" s="1904"/>
      <c r="E136" s="1887"/>
      <c r="F136" s="1888"/>
      <c r="G136" s="1888"/>
      <c r="H136" s="1888"/>
      <c r="I136" s="1889"/>
      <c r="J136" s="1882"/>
      <c r="K136" s="1870"/>
      <c r="L136" s="1870"/>
      <c r="M136" s="1878"/>
      <c r="N136" s="1879"/>
      <c r="O136" s="1879"/>
      <c r="P136" s="1879"/>
      <c r="Q136" s="1879"/>
      <c r="R136" s="1879"/>
      <c r="S136" s="1880"/>
    </row>
    <row r="137" spans="1:19" s="329" customFormat="1" ht="23.25" customHeight="1">
      <c r="A137" s="1903"/>
      <c r="B137" s="1904"/>
      <c r="C137" s="1904"/>
      <c r="D137" s="1904"/>
      <c r="E137" s="1907" t="s">
        <v>3725</v>
      </c>
      <c r="F137" s="1908"/>
      <c r="G137" s="1908"/>
      <c r="H137" s="1909"/>
      <c r="I137" s="818"/>
      <c r="J137" s="1882"/>
      <c r="K137" s="1870"/>
      <c r="L137" s="1870"/>
      <c r="M137" s="1878"/>
      <c r="N137" s="1879"/>
      <c r="O137" s="1879"/>
      <c r="P137" s="1879"/>
      <c r="Q137" s="1879"/>
      <c r="R137" s="1879"/>
      <c r="S137" s="1880"/>
    </row>
    <row r="138" spans="1:19" s="329" customFormat="1" ht="13.5" customHeight="1">
      <c r="A138" s="1905"/>
      <c r="B138" s="1906"/>
      <c r="C138" s="1906"/>
      <c r="D138" s="1906"/>
      <c r="E138" s="1910"/>
      <c r="F138" s="1911"/>
      <c r="G138" s="1911"/>
      <c r="H138" s="1912"/>
      <c r="I138" s="1132" t="s">
        <v>2597</v>
      </c>
      <c r="J138" s="1883"/>
      <c r="K138" s="1871"/>
      <c r="L138" s="1870"/>
      <c r="M138" s="406" t="s">
        <v>2597</v>
      </c>
      <c r="N138" s="1850" t="s">
        <v>3064</v>
      </c>
      <c r="O138" s="1850"/>
      <c r="P138" s="1850"/>
      <c r="Q138" s="1850"/>
      <c r="R138" s="1850"/>
      <c r="S138" s="1872"/>
    </row>
    <row r="139" spans="1:19" s="329" customFormat="1" ht="24" customHeight="1">
      <c r="A139" s="1898" t="s">
        <v>3687</v>
      </c>
      <c r="B139" s="1899"/>
      <c r="C139" s="1899"/>
      <c r="D139" s="1900"/>
      <c r="E139" s="2607" t="s">
        <v>4295</v>
      </c>
      <c r="F139" s="2608"/>
      <c r="G139" s="2608"/>
      <c r="H139" s="2608"/>
      <c r="I139" s="2618" t="s">
        <v>3157</v>
      </c>
      <c r="J139" s="2606" t="s">
        <v>3154</v>
      </c>
      <c r="K139" s="2619" t="s">
        <v>4278</v>
      </c>
      <c r="L139" s="2620">
        <v>5.1E-5</v>
      </c>
      <c r="M139" s="2621" t="s">
        <v>3157</v>
      </c>
      <c r="N139" s="2622"/>
      <c r="O139" s="2608"/>
      <c r="P139" s="2608"/>
      <c r="Q139" s="2608"/>
      <c r="R139" s="2608"/>
      <c r="S139" s="2609"/>
    </row>
    <row r="140" spans="1:19" s="329" customFormat="1" ht="24" customHeight="1">
      <c r="A140" s="1895" t="s">
        <v>3688</v>
      </c>
      <c r="B140" s="1896"/>
      <c r="C140" s="1896"/>
      <c r="D140" s="1897"/>
      <c r="E140" s="2611" t="s">
        <v>4296</v>
      </c>
      <c r="F140" s="2612"/>
      <c r="G140" s="2612"/>
      <c r="H140" s="2612"/>
      <c r="I140" s="2623" t="s">
        <v>3157</v>
      </c>
      <c r="J140" s="2610" t="s">
        <v>3157</v>
      </c>
      <c r="K140" s="2624" t="s">
        <v>4278</v>
      </c>
      <c r="L140" s="2625">
        <v>4.8999999999999998E-5</v>
      </c>
      <c r="M140" s="2626" t="s">
        <v>3157</v>
      </c>
      <c r="N140" s="2627"/>
      <c r="O140" s="2612"/>
      <c r="P140" s="2612"/>
      <c r="Q140" s="2612"/>
      <c r="R140" s="2612"/>
      <c r="S140" s="2613"/>
    </row>
    <row r="141" spans="1:19" s="329" customFormat="1" ht="24" customHeight="1">
      <c r="A141" s="1895" t="s">
        <v>3689</v>
      </c>
      <c r="B141" s="1896"/>
      <c r="C141" s="1896"/>
      <c r="D141" s="1897"/>
      <c r="E141" s="2611"/>
      <c r="F141" s="2612"/>
      <c r="G141" s="2612"/>
      <c r="H141" s="2612"/>
      <c r="I141" s="2623"/>
      <c r="J141" s="2610"/>
      <c r="K141" s="2624"/>
      <c r="L141" s="2625"/>
      <c r="M141" s="2626"/>
      <c r="N141" s="2627"/>
      <c r="O141" s="2612"/>
      <c r="P141" s="2612"/>
      <c r="Q141" s="2612"/>
      <c r="R141" s="2612"/>
      <c r="S141" s="2613"/>
    </row>
    <row r="142" spans="1:19" s="329" customFormat="1" ht="24" customHeight="1">
      <c r="A142" s="1895" t="s">
        <v>3690</v>
      </c>
      <c r="B142" s="1896"/>
      <c r="C142" s="1896"/>
      <c r="D142" s="1897"/>
      <c r="E142" s="2611" t="s">
        <v>4297</v>
      </c>
      <c r="F142" s="2612"/>
      <c r="G142" s="2612"/>
      <c r="H142" s="2612"/>
      <c r="I142" s="2623" t="s">
        <v>3157</v>
      </c>
      <c r="J142" s="2610" t="s">
        <v>3157</v>
      </c>
      <c r="K142" s="2624" t="s">
        <v>2688</v>
      </c>
      <c r="L142" s="2625">
        <v>0.9899</v>
      </c>
      <c r="M142" s="2626" t="s">
        <v>3157</v>
      </c>
      <c r="N142" s="2627"/>
      <c r="O142" s="2612"/>
      <c r="P142" s="2612"/>
      <c r="Q142" s="2612"/>
      <c r="R142" s="2612"/>
      <c r="S142" s="2613"/>
    </row>
    <row r="143" spans="1:19" s="329" customFormat="1" ht="24" customHeight="1">
      <c r="A143" s="1895" t="s">
        <v>3691</v>
      </c>
      <c r="B143" s="1896"/>
      <c r="C143" s="1896"/>
      <c r="D143" s="1897"/>
      <c r="E143" s="2611" t="s">
        <v>4298</v>
      </c>
      <c r="F143" s="2612"/>
      <c r="G143" s="2612"/>
      <c r="H143" s="2612"/>
      <c r="I143" s="2623" t="s">
        <v>3157</v>
      </c>
      <c r="J143" s="2610" t="s">
        <v>3157</v>
      </c>
      <c r="K143" s="2624" t="s">
        <v>4278</v>
      </c>
      <c r="L143" s="2625">
        <v>0.01</v>
      </c>
      <c r="M143" s="2626" t="s">
        <v>3157</v>
      </c>
      <c r="N143" s="2627"/>
      <c r="O143" s="2612"/>
      <c r="P143" s="2612"/>
      <c r="Q143" s="2612"/>
      <c r="R143" s="2612"/>
      <c r="S143" s="2613"/>
    </row>
    <row r="144" spans="1:19" s="329" customFormat="1" ht="24" customHeight="1">
      <c r="A144" s="1895" t="s">
        <v>3039</v>
      </c>
      <c r="B144" s="1896"/>
      <c r="C144" s="1896"/>
      <c r="D144" s="1897"/>
      <c r="E144" s="2611"/>
      <c r="F144" s="2612"/>
      <c r="G144" s="2612"/>
      <c r="H144" s="2612"/>
      <c r="I144" s="2623"/>
      <c r="J144" s="2610"/>
      <c r="K144" s="2624"/>
      <c r="L144" s="2625"/>
      <c r="M144" s="2626"/>
      <c r="N144" s="2627"/>
      <c r="O144" s="2612"/>
      <c r="P144" s="2612"/>
      <c r="Q144" s="2612"/>
      <c r="R144" s="2612"/>
      <c r="S144" s="2613"/>
    </row>
    <row r="145" spans="1:24" s="329" customFormat="1" ht="24" customHeight="1">
      <c r="A145" s="1895" t="s">
        <v>678</v>
      </c>
      <c r="B145" s="1896"/>
      <c r="C145" s="1896"/>
      <c r="D145" s="1897"/>
      <c r="E145" s="2611" t="s">
        <v>4274</v>
      </c>
      <c r="F145" s="2612"/>
      <c r="G145" s="2612"/>
      <c r="H145" s="2612"/>
      <c r="I145" s="2623" t="s">
        <v>3157</v>
      </c>
      <c r="J145" s="2610" t="s">
        <v>3154</v>
      </c>
      <c r="K145" s="2624" t="s">
        <v>4278</v>
      </c>
      <c r="L145" s="2625">
        <v>0</v>
      </c>
      <c r="M145" s="2626" t="s">
        <v>3157</v>
      </c>
      <c r="N145" s="2627"/>
      <c r="O145" s="2612"/>
      <c r="P145" s="2612"/>
      <c r="Q145" s="2612"/>
      <c r="R145" s="2612"/>
      <c r="S145" s="2613"/>
    </row>
    <row r="146" spans="1:24" s="329" customFormat="1" ht="24" customHeight="1">
      <c r="A146" s="1895" t="s">
        <v>3040</v>
      </c>
      <c r="B146" s="1896"/>
      <c r="C146" s="1896"/>
      <c r="D146" s="1897"/>
      <c r="E146" s="2611" t="s">
        <v>4299</v>
      </c>
      <c r="F146" s="2612"/>
      <c r="G146" s="2612"/>
      <c r="H146" s="2612"/>
      <c r="I146" s="2623" t="s">
        <v>3157</v>
      </c>
      <c r="J146" s="2610" t="s">
        <v>3157</v>
      </c>
      <c r="K146" s="2624" t="s">
        <v>4278</v>
      </c>
      <c r="L146" s="2625">
        <v>0</v>
      </c>
      <c r="M146" s="2626" t="s">
        <v>3157</v>
      </c>
      <c r="N146" s="2627"/>
      <c r="O146" s="2612"/>
      <c r="P146" s="2612"/>
      <c r="Q146" s="2612"/>
      <c r="R146" s="2612"/>
      <c r="S146" s="2613"/>
    </row>
    <row r="147" spans="1:24" s="329" customFormat="1" ht="24" customHeight="1">
      <c r="A147" s="1895" t="s">
        <v>3041</v>
      </c>
      <c r="B147" s="1896"/>
      <c r="C147" s="1896"/>
      <c r="D147" s="1897"/>
      <c r="E147" s="2611"/>
      <c r="F147" s="2612"/>
      <c r="G147" s="2612"/>
      <c r="H147" s="2612"/>
      <c r="I147" s="2623"/>
      <c r="J147" s="2610"/>
      <c r="K147" s="2624"/>
      <c r="L147" s="2625"/>
      <c r="M147" s="2626"/>
      <c r="N147" s="2627"/>
      <c r="O147" s="2612"/>
      <c r="P147" s="2612"/>
      <c r="Q147" s="2612"/>
      <c r="R147" s="2612"/>
      <c r="S147" s="2613"/>
    </row>
    <row r="148" spans="1:24" s="329" customFormat="1" ht="24" customHeight="1">
      <c r="A148" s="1895" t="s">
        <v>3043</v>
      </c>
      <c r="B148" s="1896"/>
      <c r="C148" s="1896"/>
      <c r="D148" s="1897"/>
      <c r="E148" s="2611"/>
      <c r="F148" s="2612"/>
      <c r="G148" s="2612"/>
      <c r="H148" s="2612"/>
      <c r="I148" s="2623"/>
      <c r="J148" s="2610"/>
      <c r="K148" s="2624"/>
      <c r="L148" s="2625"/>
      <c r="M148" s="2626"/>
      <c r="N148" s="2627"/>
      <c r="O148" s="2612"/>
      <c r="P148" s="2612"/>
      <c r="Q148" s="2612"/>
      <c r="R148" s="2612"/>
      <c r="S148" s="2613"/>
    </row>
    <row r="149" spans="1:24" s="329" customFormat="1" ht="24" customHeight="1">
      <c r="A149" s="1895" t="s">
        <v>3042</v>
      </c>
      <c r="B149" s="1896"/>
      <c r="C149" s="1896"/>
      <c r="D149" s="1897"/>
      <c r="E149" s="2611"/>
      <c r="F149" s="2612"/>
      <c r="G149" s="2612"/>
      <c r="H149" s="2612"/>
      <c r="I149" s="2623"/>
      <c r="J149" s="2610"/>
      <c r="K149" s="2624"/>
      <c r="L149" s="2625"/>
      <c r="M149" s="2626"/>
      <c r="N149" s="2627"/>
      <c r="O149" s="2612"/>
      <c r="P149" s="2612"/>
      <c r="Q149" s="2612"/>
      <c r="R149" s="2612"/>
      <c r="S149" s="2613"/>
    </row>
    <row r="150" spans="1:24" s="329" customFormat="1" ht="24" customHeight="1">
      <c r="A150" s="1895" t="s">
        <v>1586</v>
      </c>
      <c r="B150" s="1896"/>
      <c r="C150" s="1896"/>
      <c r="D150" s="1897"/>
      <c r="E150" s="2611" t="s">
        <v>4356</v>
      </c>
      <c r="F150" s="2612"/>
      <c r="G150" s="2612"/>
      <c r="H150" s="2612"/>
      <c r="I150" s="2623"/>
      <c r="J150" s="2610"/>
      <c r="K150" s="2624"/>
      <c r="L150" s="2625"/>
      <c r="M150" s="2626"/>
      <c r="N150" s="2627"/>
      <c r="O150" s="2612"/>
      <c r="P150" s="2612"/>
      <c r="Q150" s="2612"/>
      <c r="R150" s="2612"/>
      <c r="S150" s="2613"/>
    </row>
    <row r="151" spans="1:24" s="329" customFormat="1" ht="24" customHeight="1">
      <c r="A151" s="1892" t="s">
        <v>3044</v>
      </c>
      <c r="B151" s="1893"/>
      <c r="C151" s="1893"/>
      <c r="D151" s="1894"/>
      <c r="E151" s="2615" t="s">
        <v>4355</v>
      </c>
      <c r="F151" s="2616"/>
      <c r="G151" s="2616"/>
      <c r="H151" s="2616"/>
      <c r="I151" s="2628" t="s">
        <v>3157</v>
      </c>
      <c r="J151" s="2614" t="s">
        <v>3154</v>
      </c>
      <c r="K151" s="2629" t="s">
        <v>4278</v>
      </c>
      <c r="L151" s="2630"/>
      <c r="M151" s="2631"/>
      <c r="N151" s="2632"/>
      <c r="O151" s="2616"/>
      <c r="P151" s="2616"/>
      <c r="Q151" s="2616"/>
      <c r="R151" s="2616"/>
      <c r="S151" s="2617"/>
    </row>
    <row r="152" spans="1:24" s="1793" customFormat="1" ht="12" customHeight="1">
      <c r="G152" s="340"/>
      <c r="H152" s="340"/>
      <c r="I152" s="340"/>
      <c r="J152" s="1790"/>
      <c r="K152" s="355" t="s">
        <v>558</v>
      </c>
      <c r="L152" s="652">
        <f>SUM(L139:S151)</f>
        <v>1</v>
      </c>
      <c r="M152" s="1790"/>
      <c r="P152" s="338"/>
    </row>
    <row r="153" spans="1:24" ht="11.25" customHeight="1">
      <c r="A153" s="357" t="s">
        <v>1860</v>
      </c>
      <c r="B153" s="371"/>
      <c r="C153" s="357" t="s">
        <v>593</v>
      </c>
      <c r="N153" s="357" t="s">
        <v>549</v>
      </c>
      <c r="O153" s="357" t="s">
        <v>81</v>
      </c>
    </row>
    <row r="154" spans="1:24" ht="60" customHeight="1">
      <c r="A154" s="2574" t="s">
        <v>4357</v>
      </c>
      <c r="B154" s="2575"/>
      <c r="C154" s="2575"/>
      <c r="D154" s="2575"/>
      <c r="E154" s="2575"/>
      <c r="F154" s="2575"/>
      <c r="G154" s="2575"/>
      <c r="H154" s="2575"/>
      <c r="I154" s="2575"/>
      <c r="J154" s="2575"/>
      <c r="K154" s="2575"/>
      <c r="L154" s="2575"/>
      <c r="M154" s="2576"/>
      <c r="N154" s="2577"/>
      <c r="O154" s="2578"/>
      <c r="P154" s="2578"/>
      <c r="Q154" s="2578"/>
      <c r="R154" s="2578"/>
      <c r="S154" s="2579"/>
      <c r="T154" s="1837" t="s">
        <v>2796</v>
      </c>
      <c r="U154" s="1837"/>
      <c r="V154" s="1837"/>
      <c r="W154" s="1837"/>
      <c r="X154" s="1837"/>
    </row>
    <row r="155" spans="1:24" s="329" customFormat="1" ht="12" customHeight="1">
      <c r="A155" s="335"/>
      <c r="B155" s="348"/>
      <c r="C155" s="348"/>
      <c r="D155" s="348"/>
      <c r="E155" s="348"/>
      <c r="F155" s="348"/>
      <c r="G155" s="348"/>
      <c r="H155" s="348"/>
      <c r="I155" s="348"/>
      <c r="J155" s="348"/>
      <c r="K155" s="348"/>
      <c r="L155" s="348"/>
      <c r="M155" s="348"/>
      <c r="N155" s="348"/>
      <c r="O155" s="348"/>
      <c r="T155" s="1837"/>
      <c r="U155" s="1837"/>
      <c r="V155" s="1837"/>
      <c r="W155" s="1837"/>
      <c r="X155" s="1837"/>
    </row>
    <row r="156" spans="1:24" s="329" customFormat="1" ht="12" customHeight="1">
      <c r="A156" s="545"/>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633" t="s">
        <v>1865</v>
      </c>
    </row>
    <row r="160" spans="1:24" s="329" customFormat="1" ht="12" customHeight="1">
      <c r="A160" s="372"/>
      <c r="B160" s="348"/>
      <c r="C160" s="348"/>
      <c r="D160" s="348"/>
      <c r="E160" s="348"/>
      <c r="F160" s="348"/>
      <c r="G160" s="348"/>
      <c r="H160" s="348"/>
      <c r="I160" s="348"/>
      <c r="J160" s="348"/>
      <c r="K160" s="348"/>
      <c r="L160" s="348"/>
      <c r="M160" s="348"/>
      <c r="N160" s="348"/>
      <c r="O160" s="348"/>
      <c r="P160" s="2634" t="s">
        <v>870</v>
      </c>
    </row>
    <row r="161" spans="1:16" s="329" customFormat="1" ht="12" customHeight="1">
      <c r="A161" s="372"/>
      <c r="B161" s="348"/>
      <c r="C161" s="348"/>
      <c r="D161" s="348"/>
      <c r="E161" s="348"/>
      <c r="F161" s="348"/>
      <c r="G161" s="348"/>
      <c r="H161" s="348"/>
      <c r="I161" s="348"/>
      <c r="J161" s="348"/>
      <c r="K161" s="348"/>
      <c r="L161" s="348"/>
      <c r="M161" s="348"/>
      <c r="N161" s="348"/>
      <c r="O161" s="348"/>
      <c r="P161" s="2634" t="s">
        <v>871</v>
      </c>
    </row>
    <row r="162" spans="1:16" s="329" customFormat="1" ht="12" customHeight="1">
      <c r="A162" s="372"/>
      <c r="B162" s="348"/>
      <c r="C162" s="348"/>
      <c r="D162" s="348"/>
      <c r="E162" s="348"/>
      <c r="F162" s="348"/>
      <c r="G162" s="348"/>
      <c r="H162" s="348"/>
      <c r="I162" s="348"/>
      <c r="J162" s="348"/>
      <c r="K162" s="348"/>
      <c r="L162" s="348"/>
      <c r="M162" s="348"/>
      <c r="N162" s="348"/>
      <c r="O162" s="348"/>
      <c r="P162" s="2634" t="s">
        <v>872</v>
      </c>
    </row>
    <row r="163" spans="1:16" s="329" customFormat="1" ht="12" customHeight="1">
      <c r="A163" s="545"/>
      <c r="B163" s="348"/>
      <c r="C163" s="348"/>
      <c r="D163" s="348"/>
      <c r="E163" s="348"/>
      <c r="F163" s="348"/>
      <c r="G163" s="348"/>
      <c r="H163" s="348"/>
      <c r="I163" s="348"/>
      <c r="J163" s="348"/>
      <c r="K163" s="348"/>
      <c r="L163" s="348"/>
      <c r="M163" s="348"/>
      <c r="N163" s="348"/>
      <c r="O163" s="348"/>
      <c r="P163" s="2634" t="s">
        <v>873</v>
      </c>
    </row>
    <row r="164" spans="1:16" s="329" customFormat="1" ht="12" customHeight="1">
      <c r="B164" s="348"/>
      <c r="C164" s="348"/>
      <c r="D164" s="348"/>
      <c r="E164" s="348"/>
      <c r="F164" s="348"/>
      <c r="G164" s="348"/>
      <c r="H164" s="348"/>
      <c r="I164" s="348"/>
      <c r="J164" s="348"/>
      <c r="K164" s="348"/>
      <c r="L164" s="348"/>
      <c r="M164" s="348"/>
      <c r="N164" s="348"/>
      <c r="O164" s="348"/>
      <c r="P164" s="2634" t="s">
        <v>874</v>
      </c>
    </row>
    <row r="165" spans="1:16" s="329" customFormat="1" ht="12" customHeight="1">
      <c r="B165" s="348"/>
      <c r="C165" s="348"/>
      <c r="D165" s="348"/>
      <c r="E165" s="348"/>
      <c r="F165" s="348"/>
      <c r="G165" s="348"/>
      <c r="H165" s="348"/>
      <c r="I165" s="348"/>
      <c r="J165" s="348"/>
      <c r="K165" s="348"/>
      <c r="L165" s="348"/>
      <c r="M165" s="348"/>
      <c r="N165" s="348"/>
      <c r="O165" s="348"/>
      <c r="P165" s="2634" t="s">
        <v>875</v>
      </c>
    </row>
    <row r="166" spans="1:16" s="329" customFormat="1" ht="12" customHeight="1">
      <c r="B166" s="348"/>
      <c r="C166" s="348"/>
      <c r="D166" s="348"/>
      <c r="E166" s="348"/>
      <c r="F166" s="348"/>
      <c r="G166" s="348"/>
      <c r="H166" s="348"/>
      <c r="I166" s="348"/>
      <c r="J166" s="348"/>
      <c r="K166" s="348"/>
      <c r="L166" s="348"/>
      <c r="M166" s="348"/>
      <c r="N166" s="348"/>
      <c r="O166" s="348"/>
      <c r="P166" s="2634" t="s">
        <v>876</v>
      </c>
    </row>
    <row r="167" spans="1:16" s="329" customFormat="1" ht="12" customHeight="1">
      <c r="B167" s="348"/>
      <c r="C167" s="348"/>
      <c r="D167" s="348"/>
      <c r="E167" s="348"/>
      <c r="F167" s="348"/>
      <c r="G167" s="348"/>
      <c r="H167" s="348"/>
      <c r="I167" s="348"/>
      <c r="J167" s="348"/>
      <c r="K167" s="348"/>
      <c r="L167" s="348"/>
      <c r="M167" s="348"/>
      <c r="N167" s="348"/>
      <c r="O167" s="348"/>
      <c r="P167" s="2634" t="s">
        <v>877</v>
      </c>
    </row>
    <row r="168" spans="1:16" ht="12" customHeight="1">
      <c r="P168" s="2634" t="s">
        <v>878</v>
      </c>
    </row>
    <row r="169" spans="1:16" ht="12" customHeight="1">
      <c r="A169" s="357"/>
      <c r="P169" s="2634" t="s">
        <v>879</v>
      </c>
    </row>
    <row r="170" spans="1:16" ht="12" customHeight="1">
      <c r="P170" s="2634" t="s">
        <v>880</v>
      </c>
    </row>
    <row r="171" spans="1:16" ht="12" customHeight="1">
      <c r="P171" s="2634" t="s">
        <v>881</v>
      </c>
    </row>
    <row r="172" spans="1:16" ht="12" customHeight="1">
      <c r="P172" s="2634" t="s">
        <v>882</v>
      </c>
    </row>
    <row r="173" spans="1:16" ht="12" customHeight="1">
      <c r="P173" s="2634" t="s">
        <v>883</v>
      </c>
    </row>
    <row r="174" spans="1:16" ht="12" customHeight="1">
      <c r="P174" s="2634" t="s">
        <v>884</v>
      </c>
    </row>
    <row r="175" spans="1:16" ht="12" customHeight="1">
      <c r="P175" s="2634" t="s">
        <v>885</v>
      </c>
    </row>
    <row r="176" spans="1:16" ht="12" customHeight="1">
      <c r="P176" s="2634" t="s">
        <v>886</v>
      </c>
    </row>
    <row r="177" spans="16:16" ht="12" customHeight="1">
      <c r="P177" s="2634" t="s">
        <v>887</v>
      </c>
    </row>
    <row r="178" spans="16:16" ht="12" customHeight="1">
      <c r="P178" s="2634" t="s">
        <v>888</v>
      </c>
    </row>
    <row r="179" spans="16:16" ht="12" customHeight="1">
      <c r="P179" s="2634" t="s">
        <v>889</v>
      </c>
    </row>
    <row r="180" spans="16:16" ht="12" customHeight="1">
      <c r="P180" s="2634" t="s">
        <v>890</v>
      </c>
    </row>
    <row r="181" spans="16:16" ht="12" customHeight="1">
      <c r="P181" s="2634" t="s">
        <v>891</v>
      </c>
    </row>
    <row r="182" spans="16:16" ht="12" customHeight="1">
      <c r="P182" s="2634" t="s">
        <v>892</v>
      </c>
    </row>
    <row r="183" spans="16:16" ht="12" customHeight="1">
      <c r="P183" s="2634" t="s">
        <v>893</v>
      </c>
    </row>
    <row r="184" spans="16:16" ht="12" customHeight="1">
      <c r="P184" s="2634" t="s">
        <v>894</v>
      </c>
    </row>
    <row r="185" spans="16:16" ht="12" customHeight="1">
      <c r="P185" s="2634" t="s">
        <v>1391</v>
      </c>
    </row>
    <row r="186" spans="16:16" ht="12" customHeight="1">
      <c r="P186" s="2634" t="s">
        <v>1392</v>
      </c>
    </row>
    <row r="187" spans="16:16" ht="12" customHeight="1">
      <c r="P187" s="2634" t="s">
        <v>1393</v>
      </c>
    </row>
    <row r="188" spans="16:16" ht="12" customHeight="1">
      <c r="P188" s="2634" t="s">
        <v>1394</v>
      </c>
    </row>
    <row r="189" spans="16:16" ht="12" customHeight="1">
      <c r="P189" s="2634" t="s">
        <v>1395</v>
      </c>
    </row>
    <row r="190" spans="16:16" ht="13.5">
      <c r="P190" s="2634" t="s">
        <v>1396</v>
      </c>
    </row>
    <row r="191" spans="16:16" ht="12" customHeight="1">
      <c r="P191" s="2634" t="s">
        <v>1397</v>
      </c>
    </row>
    <row r="192" spans="16:16" ht="12" customHeight="1">
      <c r="P192" s="2634" t="s">
        <v>1398</v>
      </c>
    </row>
    <row r="193" spans="16:16" ht="12" customHeight="1">
      <c r="P193" s="2634" t="s">
        <v>1399</v>
      </c>
    </row>
    <row r="194" spans="16:16" ht="12" customHeight="1">
      <c r="P194" s="2634" t="s">
        <v>1400</v>
      </c>
    </row>
    <row r="195" spans="16:16" ht="12" customHeight="1">
      <c r="P195" s="2634" t="s">
        <v>1401</v>
      </c>
    </row>
    <row r="196" spans="16:16" ht="12" customHeight="1">
      <c r="P196" s="2634" t="s">
        <v>1402</v>
      </c>
    </row>
    <row r="197" spans="16:16" ht="12" customHeight="1">
      <c r="P197" s="2634" t="s">
        <v>1403</v>
      </c>
    </row>
    <row r="198" spans="16:16" ht="12" customHeight="1">
      <c r="P198" s="2634" t="s">
        <v>1404</v>
      </c>
    </row>
    <row r="199" spans="16:16" ht="12" customHeight="1">
      <c r="P199" s="2634" t="s">
        <v>1405</v>
      </c>
    </row>
    <row r="200" spans="16:16" ht="12" customHeight="1">
      <c r="P200" s="2634" t="s">
        <v>1406</v>
      </c>
    </row>
    <row r="201" spans="16:16" ht="12" customHeight="1">
      <c r="P201" s="2634" t="s">
        <v>1407</v>
      </c>
    </row>
    <row r="202" spans="16:16" ht="12" customHeight="1">
      <c r="P202" s="2634" t="s">
        <v>1408</v>
      </c>
    </row>
    <row r="203" spans="16:16" ht="12" customHeight="1">
      <c r="P203" s="2634" t="s">
        <v>1409</v>
      </c>
    </row>
    <row r="204" spans="16:16" ht="12" customHeight="1">
      <c r="P204" s="2634" t="s">
        <v>1410</v>
      </c>
    </row>
    <row r="205" spans="16:16" ht="12" customHeight="1">
      <c r="P205" s="2634" t="s">
        <v>1411</v>
      </c>
    </row>
    <row r="206" spans="16:16" ht="12" customHeight="1">
      <c r="P206" s="2634" t="s">
        <v>1412</v>
      </c>
    </row>
    <row r="207" spans="16:16" ht="12" customHeight="1">
      <c r="P207" s="2634" t="s">
        <v>1413</v>
      </c>
    </row>
    <row r="208" spans="16:16" ht="12" customHeight="1">
      <c r="P208" s="2634" t="s">
        <v>1414</v>
      </c>
    </row>
    <row r="209" spans="16:16" ht="12" customHeight="1">
      <c r="P209" s="2634" t="s">
        <v>1415</v>
      </c>
    </row>
    <row r="210" spans="16:16" ht="12" customHeight="1">
      <c r="P210" s="2634" t="s">
        <v>1416</v>
      </c>
    </row>
  </sheetData>
  <sheetProtection algorithmName="SHA-512" hashValue="OW6nEEPSt/PZ1cbGh4bLefkXRtWjPmBwUP+nauBGCNKmXZX3r9Js1tubuizkLev9dmwW0BzMWpWmyjPPkXZ/ww==" saltValue="F2c9jzWc02Gx8cp/UNV9/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48" zoomScaleNormal="100" zoomScaleSheetLayoutView="90" workbookViewId="0">
      <selection activeCell="A48"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866" t="str">
        <f>CONCATENATE("PART THREE - SOURCES OF FUNDS","  -  ",'Part I-Project Information'!$O$4," ",'Part I-Project Information'!$F$24,", ",'Part I-Project Information'!$F$28,", ",'Part I-Project Information'!$J$29," County")</f>
        <v>PART THREE - SOURCES OF FUNDS  -  2016-524 Wheat Street Tower, Atlanta, Fulton County</v>
      </c>
      <c r="B1" s="1867"/>
      <c r="C1" s="1867"/>
      <c r="D1" s="1867"/>
      <c r="E1" s="1867"/>
      <c r="F1" s="1867"/>
      <c r="G1" s="1867"/>
      <c r="H1" s="1867"/>
      <c r="I1" s="1867"/>
      <c r="J1" s="1867"/>
      <c r="K1" s="1867"/>
      <c r="L1" s="1867"/>
      <c r="M1" s="1867"/>
      <c r="N1" s="1867"/>
      <c r="O1" s="1867"/>
      <c r="P1" s="1867"/>
      <c r="Q1" s="1868"/>
      <c r="S1" s="1937" t="str">
        <f>$A$1</f>
        <v>PART THREE - SOURCES OF FUNDS  -  2016-524 Wheat Street Tower, Atlanta, Fulton County</v>
      </c>
      <c r="T1" s="1937"/>
    </row>
    <row r="2" spans="1:20" ht="17.45" customHeight="1" thickBot="1">
      <c r="A2" s="348"/>
      <c r="B2" s="348"/>
      <c r="C2" s="348"/>
      <c r="D2" s="348"/>
      <c r="E2" s="348"/>
      <c r="F2" s="348"/>
      <c r="G2" s="348"/>
      <c r="H2" s="1857" t="s">
        <v>4221</v>
      </c>
      <c r="I2" s="1858"/>
      <c r="J2" s="1859"/>
      <c r="K2" s="348"/>
      <c r="L2" s="348"/>
      <c r="M2" s="348"/>
      <c r="N2" s="348"/>
      <c r="O2" s="348"/>
      <c r="P2" s="348"/>
      <c r="Q2" s="348"/>
    </row>
    <row r="3" spans="1:20" s="297" customFormat="1" ht="13.15" customHeight="1">
      <c r="A3" s="331" t="s">
        <v>640</v>
      </c>
      <c r="B3" s="351" t="s">
        <v>2577</v>
      </c>
      <c r="C3" s="329"/>
      <c r="D3" s="1793"/>
      <c r="E3" s="1793"/>
      <c r="F3" s="1793"/>
      <c r="G3" s="1793"/>
      <c r="J3" s="1793"/>
      <c r="M3" s="1793"/>
      <c r="N3" s="1793"/>
      <c r="S3" s="379" t="str">
        <f>B3</f>
        <v>GOVERNMENT FUNDING SOURCES  (check all that apply)</v>
      </c>
    </row>
    <row r="4" spans="1:20" s="297" customFormat="1" ht="15.75" customHeight="1">
      <c r="A4" s="357"/>
      <c r="B4" s="545"/>
      <c r="C4" s="351"/>
      <c r="D4" s="1793"/>
      <c r="E4" s="1793"/>
      <c r="F4" s="1793"/>
      <c r="G4" s="1793"/>
      <c r="S4" s="1938" t="s">
        <v>2778</v>
      </c>
      <c r="T4" s="1938"/>
    </row>
    <row r="5" spans="1:20" s="297" customFormat="1" ht="15" customHeight="1">
      <c r="A5" s="545"/>
      <c r="B5" s="2635"/>
      <c r="C5" s="1783" t="s">
        <v>2495</v>
      </c>
      <c r="D5" s="329"/>
      <c r="H5" s="2635"/>
      <c r="I5" s="1783" t="s">
        <v>1594</v>
      </c>
      <c r="L5" s="2635"/>
      <c r="M5" s="334" t="s">
        <v>4132</v>
      </c>
      <c r="S5" s="2636"/>
      <c r="T5" s="2637"/>
    </row>
    <row r="6" spans="1:20" s="297" customFormat="1" ht="15" customHeight="1">
      <c r="A6" s="545"/>
      <c r="B6" s="2638"/>
      <c r="C6" s="1783" t="s">
        <v>569</v>
      </c>
      <c r="D6" s="329"/>
      <c r="H6" s="2638"/>
      <c r="I6" s="1783" t="s">
        <v>568</v>
      </c>
      <c r="L6" s="2638"/>
      <c r="M6" s="334" t="s">
        <v>2697</v>
      </c>
      <c r="Q6" s="577"/>
      <c r="S6" s="2639"/>
      <c r="T6" s="2640"/>
    </row>
    <row r="7" spans="1:20" s="297" customFormat="1" ht="15" customHeight="1">
      <c r="A7" s="329"/>
      <c r="B7" s="2638"/>
      <c r="C7" s="1783" t="s">
        <v>4104</v>
      </c>
      <c r="E7" s="2641"/>
      <c r="F7" s="2642"/>
      <c r="H7" s="2638"/>
      <c r="I7" s="1783" t="s">
        <v>4131</v>
      </c>
      <c r="L7" s="2638"/>
      <c r="M7" s="334" t="s">
        <v>4139</v>
      </c>
      <c r="S7" s="2639"/>
      <c r="T7" s="2640"/>
    </row>
    <row r="8" spans="1:20" s="297" customFormat="1" ht="15" customHeight="1">
      <c r="A8" s="545"/>
      <c r="B8" s="2638"/>
      <c r="C8" s="1783" t="s">
        <v>1870</v>
      </c>
      <c r="D8" s="329"/>
      <c r="H8" s="2638"/>
      <c r="I8" s="329" t="s">
        <v>2698</v>
      </c>
      <c r="L8" s="2638"/>
      <c r="M8" s="1793" t="s">
        <v>2689</v>
      </c>
      <c r="S8" s="2643"/>
      <c r="T8" s="2644"/>
    </row>
    <row r="9" spans="1:20" s="297" customFormat="1" ht="15" customHeight="1">
      <c r="A9" s="545"/>
      <c r="B9" s="2638"/>
      <c r="C9" s="1783" t="s">
        <v>570</v>
      </c>
      <c r="H9" s="2638"/>
      <c r="I9" s="329" t="s">
        <v>2696</v>
      </c>
      <c r="L9" s="2645"/>
      <c r="M9" s="353" t="s">
        <v>2690</v>
      </c>
      <c r="P9" s="329"/>
      <c r="Q9" s="329"/>
      <c r="S9" s="2636"/>
      <c r="T9" s="2637"/>
    </row>
    <row r="10" spans="1:20" s="297" customFormat="1" ht="15" customHeight="1">
      <c r="A10" s="545"/>
      <c r="B10" s="2638"/>
      <c r="C10" s="1783" t="s">
        <v>4141</v>
      </c>
      <c r="D10" s="329"/>
      <c r="E10" s="2646"/>
      <c r="F10" s="2647"/>
      <c r="G10" s="819"/>
      <c r="H10" s="2645"/>
      <c r="I10" s="1873" t="s">
        <v>2915</v>
      </c>
      <c r="J10" s="1873"/>
      <c r="L10" s="2591"/>
      <c r="M10" s="2648" t="s">
        <v>4143</v>
      </c>
      <c r="N10" s="2649"/>
      <c r="O10" s="2649"/>
      <c r="P10" s="2649"/>
      <c r="Q10" s="2650"/>
      <c r="S10" s="2639"/>
      <c r="T10" s="2640"/>
    </row>
    <row r="11" spans="1:20" s="297" customFormat="1" ht="15" customHeight="1">
      <c r="A11" s="545"/>
      <c r="B11" s="2645"/>
      <c r="C11" s="1783" t="s">
        <v>4137</v>
      </c>
      <c r="I11" s="1873"/>
      <c r="J11" s="1873"/>
      <c r="M11" s="2651" t="s">
        <v>4155</v>
      </c>
      <c r="N11" s="2652"/>
      <c r="O11" s="2652"/>
      <c r="P11" s="2652"/>
      <c r="Q11" s="2653"/>
      <c r="S11" s="2639"/>
      <c r="T11" s="2640"/>
    </row>
    <row r="12" spans="1:20" s="297" customFormat="1" ht="15" customHeight="1">
      <c r="A12" s="545"/>
      <c r="B12" s="545"/>
      <c r="C12" s="297" t="s">
        <v>4138</v>
      </c>
      <c r="E12" s="2651" t="s">
        <v>3694</v>
      </c>
      <c r="F12" s="2652"/>
      <c r="G12" s="2652"/>
      <c r="H12" s="2652"/>
      <c r="I12" s="2653"/>
      <c r="S12" s="2643"/>
      <c r="T12" s="2644"/>
    </row>
    <row r="13" spans="1:20" s="297" customFormat="1" ht="15" customHeight="1">
      <c r="A13" s="545"/>
      <c r="C13" s="297" t="s">
        <v>4140</v>
      </c>
      <c r="E13" s="2646"/>
      <c r="F13" s="2647"/>
      <c r="Q13" s="329"/>
    </row>
    <row r="14" spans="1:20" s="297" customFormat="1" ht="16.899999999999999" customHeight="1">
      <c r="A14" s="545"/>
      <c r="B14" s="297" t="s">
        <v>4142</v>
      </c>
      <c r="C14" s="329"/>
      <c r="D14" s="329"/>
      <c r="E14" s="329"/>
      <c r="F14" s="329"/>
      <c r="G14" s="329"/>
      <c r="H14" s="329"/>
      <c r="I14" s="329"/>
      <c r="J14" s="329"/>
      <c r="K14" s="329"/>
      <c r="L14" s="329"/>
      <c r="M14" s="353"/>
      <c r="N14" s="329"/>
      <c r="O14" s="329"/>
      <c r="P14" s="329"/>
      <c r="Q14" s="329"/>
    </row>
    <row r="15" spans="1:20" s="297" customFormat="1" ht="17.45" customHeight="1">
      <c r="A15" s="545"/>
      <c r="L15" s="329"/>
      <c r="M15" s="353"/>
      <c r="N15" s="329"/>
      <c r="O15" s="329"/>
      <c r="P15" s="329"/>
      <c r="Q15" s="329"/>
    </row>
    <row r="16" spans="1:20" s="379" customFormat="1" ht="15" customHeight="1">
      <c r="A16" s="331" t="s">
        <v>770</v>
      </c>
      <c r="B16" s="296" t="s">
        <v>2426</v>
      </c>
      <c r="C16" s="329"/>
      <c r="D16" s="1793"/>
      <c r="E16" s="329"/>
      <c r="F16" s="329"/>
      <c r="G16" s="329"/>
      <c r="H16" s="297"/>
      <c r="I16" s="297"/>
      <c r="J16" s="331"/>
      <c r="K16" s="329"/>
      <c r="L16" s="329"/>
      <c r="M16" s="1793"/>
      <c r="N16" s="1862"/>
      <c r="O16" s="1862"/>
      <c r="P16" s="329"/>
      <c r="Q16" s="329"/>
      <c r="S16" s="379" t="str">
        <f>B16</f>
        <v>CONSTRUCTION FINANCING</v>
      </c>
    </row>
    <row r="17" spans="1:20" s="379" customFormat="1" ht="13.9" customHeight="1">
      <c r="A17" s="331"/>
      <c r="B17" s="296"/>
      <c r="C17" s="329"/>
      <c r="K17" s="329"/>
      <c r="L17" s="329"/>
      <c r="M17" s="1793"/>
      <c r="N17" s="1784"/>
      <c r="O17" s="1784"/>
      <c r="P17" s="329"/>
      <c r="Q17" s="329"/>
    </row>
    <row r="18" spans="1:20" s="297" customFormat="1" ht="16.899999999999999" customHeight="1">
      <c r="A18" s="329"/>
      <c r="B18" s="1783" t="s">
        <v>1942</v>
      </c>
      <c r="C18" s="329"/>
      <c r="D18" s="329"/>
      <c r="E18" s="329"/>
      <c r="F18" s="329"/>
      <c r="G18" s="329"/>
      <c r="H18" s="1942" t="s">
        <v>1346</v>
      </c>
      <c r="I18" s="1942"/>
      <c r="J18" s="1942"/>
      <c r="K18" s="1942"/>
      <c r="L18" s="1849" t="s">
        <v>2066</v>
      </c>
      <c r="M18" s="1849"/>
      <c r="N18" s="1849" t="s">
        <v>1564</v>
      </c>
      <c r="O18" s="1849"/>
      <c r="P18" s="1849" t="s">
        <v>1689</v>
      </c>
      <c r="Q18" s="1849"/>
      <c r="S18" s="1938" t="s">
        <v>2778</v>
      </c>
      <c r="T18" s="1938"/>
    </row>
    <row r="19" spans="1:20" s="297" customFormat="1" ht="16.899999999999999" customHeight="1">
      <c r="A19" s="329"/>
      <c r="B19" s="1921" t="s">
        <v>1648</v>
      </c>
      <c r="C19" s="1922"/>
      <c r="D19" s="1922"/>
      <c r="E19" s="1794"/>
      <c r="F19" s="1794"/>
      <c r="G19" s="1794"/>
      <c r="H19" s="2654" t="s">
        <v>4334</v>
      </c>
      <c r="I19" s="2655"/>
      <c r="J19" s="2655"/>
      <c r="K19" s="2656"/>
      <c r="L19" s="2657">
        <v>11317799</v>
      </c>
      <c r="M19" s="2658"/>
      <c r="N19" s="2659">
        <v>0.04</v>
      </c>
      <c r="O19" s="2660"/>
      <c r="P19" s="2661">
        <v>24</v>
      </c>
      <c r="Q19" s="2662"/>
      <c r="S19" s="2636"/>
      <c r="T19" s="2637"/>
    </row>
    <row r="20" spans="1:20" s="297" customFormat="1" ht="16.899999999999999" customHeight="1">
      <c r="A20" s="329"/>
      <c r="B20" s="1919" t="s">
        <v>1649</v>
      </c>
      <c r="C20" s="1920"/>
      <c r="D20" s="1920"/>
      <c r="E20" s="1793"/>
      <c r="F20" s="1793"/>
      <c r="G20" s="1793"/>
      <c r="H20" s="2663"/>
      <c r="I20" s="2664"/>
      <c r="J20" s="2664"/>
      <c r="K20" s="2665"/>
      <c r="L20" s="2666"/>
      <c r="M20" s="2667"/>
      <c r="N20" s="2668"/>
      <c r="O20" s="2669"/>
      <c r="P20" s="2670"/>
      <c r="Q20" s="2671"/>
      <c r="S20" s="2639"/>
      <c r="T20" s="2640"/>
    </row>
    <row r="21" spans="1:20" s="297" customFormat="1" ht="16.899999999999999" customHeight="1">
      <c r="A21" s="329"/>
      <c r="B21" s="1940" t="s">
        <v>1650</v>
      </c>
      <c r="C21" s="1941"/>
      <c r="D21" s="1941"/>
      <c r="E21" s="1796"/>
      <c r="F21" s="1796"/>
      <c r="G21" s="1796"/>
      <c r="H21" s="2672"/>
      <c r="I21" s="2673"/>
      <c r="J21" s="2673"/>
      <c r="K21" s="2674"/>
      <c r="L21" s="2675"/>
      <c r="M21" s="2676"/>
      <c r="N21" s="2677"/>
      <c r="O21" s="2678"/>
      <c r="P21" s="2679"/>
      <c r="Q21" s="2680"/>
      <c r="S21" s="2639"/>
      <c r="T21" s="2640"/>
    </row>
    <row r="22" spans="1:20" s="297" customFormat="1" ht="16.899999999999999" customHeight="1">
      <c r="A22" s="329"/>
      <c r="B22" s="1921" t="s">
        <v>2294</v>
      </c>
      <c r="C22" s="1922"/>
      <c r="D22" s="1922"/>
      <c r="E22" s="1793"/>
      <c r="F22" s="1793"/>
      <c r="G22" s="1793"/>
      <c r="H22" s="2681"/>
      <c r="I22" s="2682"/>
      <c r="J22" s="2682"/>
      <c r="K22" s="2683"/>
      <c r="L22" s="2684"/>
      <c r="M22" s="2685"/>
      <c r="N22" s="1934"/>
      <c r="O22" s="1935"/>
      <c r="P22" s="1939"/>
      <c r="Q22" s="1939"/>
      <c r="S22" s="2639"/>
      <c r="T22" s="2640"/>
    </row>
    <row r="23" spans="1:20" s="297" customFormat="1" ht="16.899999999999999" customHeight="1">
      <c r="A23" s="329"/>
      <c r="B23" s="1919" t="s">
        <v>833</v>
      </c>
      <c r="C23" s="1920"/>
      <c r="D23" s="1920"/>
      <c r="E23" s="1793"/>
      <c r="H23" s="2663"/>
      <c r="I23" s="2664"/>
      <c r="J23" s="2664"/>
      <c r="K23" s="2665"/>
      <c r="L23" s="2666"/>
      <c r="M23" s="2667"/>
      <c r="N23" s="1934"/>
      <c r="O23" s="1935"/>
      <c r="P23" s="1939"/>
      <c r="Q23" s="1939"/>
      <c r="S23" s="2639"/>
      <c r="T23" s="2640"/>
    </row>
    <row r="24" spans="1:20" s="297" customFormat="1" ht="16.899999999999999" customHeight="1">
      <c r="A24" s="329"/>
      <c r="B24" s="1919" t="s">
        <v>665</v>
      </c>
      <c r="C24" s="1920"/>
      <c r="D24" s="1920"/>
      <c r="E24" s="1793"/>
      <c r="H24" s="2663"/>
      <c r="I24" s="2664"/>
      <c r="J24" s="2664"/>
      <c r="K24" s="2665"/>
      <c r="L24" s="2666"/>
      <c r="M24" s="2667"/>
      <c r="N24" s="1934"/>
      <c r="O24" s="1935"/>
      <c r="P24" s="1939"/>
      <c r="Q24" s="1939"/>
      <c r="S24" s="2639"/>
      <c r="T24" s="2640"/>
    </row>
    <row r="25" spans="1:20" s="297" customFormat="1" ht="16.899999999999999" customHeight="1">
      <c r="A25" s="329"/>
      <c r="B25" s="1919" t="s">
        <v>834</v>
      </c>
      <c r="C25" s="1920"/>
      <c r="D25" s="1920"/>
      <c r="E25" s="1793"/>
      <c r="H25" s="2663" t="s">
        <v>4297</v>
      </c>
      <c r="I25" s="2664"/>
      <c r="J25" s="2664"/>
      <c r="K25" s="2665"/>
      <c r="L25" s="2666">
        <f>I45*0.62</f>
        <v>5482120.5999999996</v>
      </c>
      <c r="M25" s="2667"/>
      <c r="N25" s="329"/>
      <c r="O25" s="329"/>
      <c r="P25" s="329"/>
      <c r="Q25" s="329"/>
      <c r="S25" s="2643"/>
      <c r="T25" s="2644"/>
    </row>
    <row r="26" spans="1:20" s="297" customFormat="1" ht="16.899999999999999" customHeight="1">
      <c r="A26" s="329"/>
      <c r="B26" s="1919" t="s">
        <v>835</v>
      </c>
      <c r="C26" s="1920"/>
      <c r="D26" s="1920"/>
      <c r="E26" s="1793"/>
      <c r="H26" s="2663" t="s">
        <v>4298</v>
      </c>
      <c r="I26" s="2664"/>
      <c r="J26" s="2664"/>
      <c r="K26" s="2665"/>
      <c r="L26" s="2666">
        <f>I46*0.62</f>
        <v>3023972.5</v>
      </c>
      <c r="M26" s="2667"/>
      <c r="N26" s="329"/>
      <c r="Q26" s="329"/>
      <c r="S26" s="2636"/>
      <c r="T26" s="2637"/>
    </row>
    <row r="27" spans="1:20" s="297" customFormat="1" ht="16.899999999999999" customHeight="1">
      <c r="A27" s="329"/>
      <c r="B27" s="1792" t="s">
        <v>253</v>
      </c>
      <c r="C27" s="1793"/>
      <c r="D27" s="2686"/>
      <c r="E27" s="2686"/>
      <c r="F27" s="2686"/>
      <c r="G27" s="2686"/>
      <c r="H27" s="2663"/>
      <c r="I27" s="2664"/>
      <c r="J27" s="2664"/>
      <c r="K27" s="2665"/>
      <c r="L27" s="2666"/>
      <c r="M27" s="2667"/>
      <c r="N27" s="329"/>
      <c r="Q27" s="329"/>
      <c r="S27" s="2639"/>
      <c r="T27" s="2640"/>
    </row>
    <row r="28" spans="1:20" s="297" customFormat="1" ht="16.899999999999999" customHeight="1">
      <c r="A28" s="329"/>
      <c r="B28" s="1792" t="s">
        <v>253</v>
      </c>
      <c r="C28" s="1793"/>
      <c r="D28" s="2687"/>
      <c r="E28" s="2687"/>
      <c r="F28" s="2687"/>
      <c r="G28" s="2687"/>
      <c r="H28" s="2663"/>
      <c r="I28" s="2664"/>
      <c r="J28" s="2664"/>
      <c r="K28" s="2665"/>
      <c r="L28" s="2666"/>
      <c r="M28" s="2667"/>
      <c r="N28" s="329"/>
      <c r="S28" s="2639"/>
      <c r="T28" s="2640"/>
    </row>
    <row r="29" spans="1:20" s="297" customFormat="1" ht="16.899999999999999" customHeight="1">
      <c r="A29" s="329"/>
      <c r="B29" s="1795" t="s">
        <v>253</v>
      </c>
      <c r="C29" s="1796"/>
      <c r="D29" s="2688"/>
      <c r="E29" s="2688"/>
      <c r="F29" s="2688"/>
      <c r="G29" s="2688"/>
      <c r="H29" s="2672"/>
      <c r="I29" s="2673"/>
      <c r="J29" s="2673"/>
      <c r="K29" s="2674"/>
      <c r="L29" s="2675"/>
      <c r="M29" s="2676"/>
      <c r="N29" s="329"/>
      <c r="S29" s="2639"/>
      <c r="T29" s="2640"/>
    </row>
    <row r="30" spans="1:20" s="297" customFormat="1" ht="16.899999999999999" customHeight="1">
      <c r="A30" s="329"/>
      <c r="B30" s="296" t="s">
        <v>1347</v>
      </c>
      <c r="C30" s="329"/>
      <c r="D30" s="329"/>
      <c r="E30" s="329"/>
      <c r="F30" s="329"/>
      <c r="G30" s="329"/>
      <c r="H30" s="329"/>
      <c r="I30" s="329"/>
      <c r="L30" s="1943">
        <f>SUM(L19:L29)</f>
        <v>19823892.100000001</v>
      </c>
      <c r="M30" s="1944"/>
      <c r="N30" s="348"/>
      <c r="S30" s="2639"/>
      <c r="T30" s="2640"/>
    </row>
    <row r="31" spans="1:20" s="297" customFormat="1" ht="16.899999999999999" customHeight="1">
      <c r="A31" s="329"/>
      <c r="B31" s="1783" t="s">
        <v>1348</v>
      </c>
      <c r="C31" s="329"/>
      <c r="D31" s="329"/>
      <c r="E31" s="329"/>
      <c r="F31" s="329"/>
      <c r="G31" s="329"/>
      <c r="H31" s="329"/>
      <c r="I31" s="329"/>
      <c r="L31" s="2689">
        <f ca="1">'Part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19823892.574578471</v>
      </c>
      <c r="M31" s="2690"/>
      <c r="N31" s="1133"/>
      <c r="S31" s="2639"/>
      <c r="T31" s="2640"/>
    </row>
    <row r="32" spans="1:20" s="297" customFormat="1" ht="16.899999999999999" customHeight="1">
      <c r="A32" s="329"/>
      <c r="B32" s="334" t="s">
        <v>2235</v>
      </c>
      <c r="C32" s="329"/>
      <c r="D32" s="329"/>
      <c r="E32" s="329"/>
      <c r="F32" s="329"/>
      <c r="G32" s="329"/>
      <c r="H32" s="329"/>
      <c r="I32" s="329"/>
      <c r="L32" s="1932">
        <f ca="1">L30-L31</f>
        <v>-0.47457846999168396</v>
      </c>
      <c r="M32" s="1933"/>
      <c r="N32" s="1133"/>
      <c r="S32" s="2643"/>
      <c r="T32" s="2644"/>
    </row>
    <row r="33" spans="1:20" ht="9.6" customHeight="1">
      <c r="A33" s="357"/>
      <c r="B33" s="296"/>
      <c r="C33" s="348"/>
      <c r="D33" s="348"/>
      <c r="E33" s="348"/>
      <c r="F33" s="348"/>
      <c r="G33" s="348"/>
      <c r="H33" s="348"/>
      <c r="I33" s="348"/>
      <c r="J33" s="348"/>
      <c r="K33" s="348"/>
      <c r="L33" s="348"/>
      <c r="M33" s="1790"/>
      <c r="N33" s="1790"/>
    </row>
    <row r="34" spans="1:20" ht="9.6" customHeight="1">
      <c r="A34" s="331" t="s">
        <v>772</v>
      </c>
      <c r="B34" s="296" t="s">
        <v>832</v>
      </c>
      <c r="C34" s="348"/>
      <c r="D34" s="348"/>
      <c r="E34" s="348"/>
      <c r="F34" s="348"/>
      <c r="G34" s="348"/>
      <c r="H34" s="348"/>
      <c r="I34" s="348"/>
      <c r="J34" s="348"/>
      <c r="K34" s="348"/>
      <c r="L34" s="348"/>
      <c r="M34" s="1790"/>
      <c r="N34" s="1790"/>
      <c r="O34" s="348"/>
      <c r="S34" s="379" t="str">
        <f>B34</f>
        <v>PERMANENT FINANCING</v>
      </c>
    </row>
    <row r="35" spans="1:20" s="297" customFormat="1" ht="13.15" customHeight="1">
      <c r="A35" s="329"/>
      <c r="B35" s="329"/>
      <c r="C35" s="329"/>
      <c r="D35" s="329"/>
      <c r="E35" s="329"/>
      <c r="F35" s="1790"/>
      <c r="G35" s="1790"/>
      <c r="H35" s="1939"/>
      <c r="I35" s="1939"/>
      <c r="K35" s="406" t="s">
        <v>2177</v>
      </c>
      <c r="L35" s="1790" t="s">
        <v>1344</v>
      </c>
      <c r="M35" s="1790" t="s">
        <v>1349</v>
      </c>
      <c r="N35" s="1913" t="s">
        <v>36</v>
      </c>
      <c r="O35" s="1913"/>
      <c r="P35" s="1790"/>
      <c r="Q35" s="331"/>
      <c r="S35" s="379"/>
    </row>
    <row r="36" spans="1:20" s="297" customFormat="1" ht="13.15" customHeight="1">
      <c r="A36" s="329"/>
      <c r="B36" s="1791" t="s">
        <v>1942</v>
      </c>
      <c r="C36" s="1796"/>
      <c r="D36" s="1796"/>
      <c r="E36" s="1838" t="s">
        <v>1346</v>
      </c>
      <c r="F36" s="1838"/>
      <c r="G36" s="1838"/>
      <c r="H36" s="1838"/>
      <c r="I36" s="1849" t="s">
        <v>506</v>
      </c>
      <c r="J36" s="1849"/>
      <c r="K36" s="1786" t="s">
        <v>1874</v>
      </c>
      <c r="L36" s="1786" t="s">
        <v>2293</v>
      </c>
      <c r="M36" s="1786" t="s">
        <v>2293</v>
      </c>
      <c r="N36" s="2691"/>
      <c r="O36" s="2691"/>
      <c r="P36" s="1849" t="s">
        <v>76</v>
      </c>
      <c r="Q36" s="1849"/>
      <c r="S36" s="1938" t="s">
        <v>2778</v>
      </c>
      <c r="T36" s="1938"/>
    </row>
    <row r="37" spans="1:20" s="297" customFormat="1" ht="16.5" customHeight="1">
      <c r="A37" s="329"/>
      <c r="B37" s="1921" t="s">
        <v>2702</v>
      </c>
      <c r="C37" s="1922"/>
      <c r="D37" s="1922"/>
      <c r="E37" s="2654" t="s">
        <v>4334</v>
      </c>
      <c r="F37" s="2655"/>
      <c r="G37" s="2655"/>
      <c r="H37" s="2656"/>
      <c r="I37" s="2692">
        <v>11500000</v>
      </c>
      <c r="J37" s="2693"/>
      <c r="K37" s="2694">
        <v>0.04</v>
      </c>
      <c r="L37" s="2635">
        <v>40</v>
      </c>
      <c r="M37" s="2635">
        <v>40</v>
      </c>
      <c r="N37" s="2695">
        <f t="shared" ref="N37:N42" si="0">IF(OR(I37&lt;=0,I37=""),"",IF(P37="Amortizing",-PMT(K37/12,M37*12,I37,0,0)*12,""))</f>
        <v>576755.08777726337</v>
      </c>
      <c r="O37" s="2695"/>
      <c r="P37" s="2696" t="s">
        <v>4335</v>
      </c>
      <c r="Q37" s="2696"/>
      <c r="S37" s="2636"/>
      <c r="T37" s="2637"/>
    </row>
    <row r="38" spans="1:20" s="297" customFormat="1" ht="16.5" customHeight="1">
      <c r="A38" s="329"/>
      <c r="B38" s="1919" t="s">
        <v>2703</v>
      </c>
      <c r="C38" s="1920"/>
      <c r="D38" s="1920"/>
      <c r="E38" s="2663"/>
      <c r="F38" s="2664"/>
      <c r="G38" s="2664"/>
      <c r="H38" s="2665"/>
      <c r="I38" s="2697"/>
      <c r="J38" s="2698"/>
      <c r="K38" s="2699"/>
      <c r="L38" s="2638"/>
      <c r="M38" s="2638"/>
      <c r="N38" s="2700" t="str">
        <f t="shared" si="0"/>
        <v/>
      </c>
      <c r="O38" s="2700"/>
      <c r="P38" s="2701"/>
      <c r="Q38" s="2701"/>
      <c r="S38" s="2639"/>
      <c r="T38" s="2640"/>
    </row>
    <row r="39" spans="1:20" s="297" customFormat="1" ht="16.5" customHeight="1">
      <c r="A39" s="329"/>
      <c r="B39" s="1919" t="s">
        <v>2704</v>
      </c>
      <c r="C39" s="1920"/>
      <c r="D39" s="1920"/>
      <c r="E39" s="2663"/>
      <c r="F39" s="2664"/>
      <c r="G39" s="2664"/>
      <c r="H39" s="2665"/>
      <c r="I39" s="2697"/>
      <c r="J39" s="2698"/>
      <c r="K39" s="2699"/>
      <c r="L39" s="2638"/>
      <c r="M39" s="2638"/>
      <c r="N39" s="2700" t="str">
        <f t="shared" si="0"/>
        <v/>
      </c>
      <c r="O39" s="2700"/>
      <c r="P39" s="2701"/>
      <c r="Q39" s="2701"/>
      <c r="S39" s="2639"/>
      <c r="T39" s="2640"/>
    </row>
    <row r="40" spans="1:20" s="297" customFormat="1" ht="16.5" customHeight="1">
      <c r="A40" s="329"/>
      <c r="B40" s="1792" t="s">
        <v>771</v>
      </c>
      <c r="C40" s="2492"/>
      <c r="D40" s="2494"/>
      <c r="E40" s="2663"/>
      <c r="F40" s="2664"/>
      <c r="G40" s="2664"/>
      <c r="H40" s="2665"/>
      <c r="I40" s="2697"/>
      <c r="J40" s="2698"/>
      <c r="K40" s="2702"/>
      <c r="L40" s="2645"/>
      <c r="M40" s="2645"/>
      <c r="N40" s="2703" t="str">
        <f t="shared" si="0"/>
        <v/>
      </c>
      <c r="O40" s="2703"/>
      <c r="P40" s="2704"/>
      <c r="Q40" s="2704"/>
      <c r="S40" s="2639"/>
      <c r="T40" s="2640"/>
    </row>
    <row r="41" spans="1:20" s="297" customFormat="1" ht="16.5" customHeight="1">
      <c r="A41" s="329"/>
      <c r="B41" s="1792" t="s">
        <v>2865</v>
      </c>
      <c r="C41" s="1793"/>
      <c r="D41" s="1797"/>
      <c r="E41" s="2663"/>
      <c r="F41" s="2664"/>
      <c r="G41" s="2664"/>
      <c r="H41" s="2665"/>
      <c r="I41" s="2697"/>
      <c r="J41" s="2698"/>
      <c r="K41" s="523"/>
      <c r="L41" s="1799"/>
      <c r="M41" s="1799"/>
      <c r="N41" s="1923" t="str">
        <f t="shared" si="0"/>
        <v/>
      </c>
      <c r="O41" s="1923"/>
      <c r="P41" s="1918"/>
      <c r="Q41" s="1918"/>
      <c r="S41" s="2639"/>
      <c r="T41" s="2640"/>
    </row>
    <row r="42" spans="1:20" s="297" customFormat="1" ht="16.5" customHeight="1">
      <c r="A42" s="329"/>
      <c r="B42" s="1795" t="s">
        <v>237</v>
      </c>
      <c r="C42" s="1796"/>
      <c r="D42" s="407">
        <f>IF(OR(I42="",I42=0,'Part IV-Uses of Funds'!$G$117="",'Part IV-Uses of Funds'!$G$117=0),"",I42/'Part IV-Uses of Funds'!$G$117)</f>
        <v>4.7232000000000003E-3</v>
      </c>
      <c r="E42" s="2672" t="s">
        <v>4336</v>
      </c>
      <c r="F42" s="2673"/>
      <c r="G42" s="2673"/>
      <c r="H42" s="2674"/>
      <c r="I42" s="2705">
        <v>11808</v>
      </c>
      <c r="J42" s="2706"/>
      <c r="K42" s="2707"/>
      <c r="L42" s="2591"/>
      <c r="M42" s="2591"/>
      <c r="N42" s="2708" t="str">
        <f t="shared" si="0"/>
        <v/>
      </c>
      <c r="O42" s="2709"/>
      <c r="P42" s="2710"/>
      <c r="Q42" s="2711"/>
      <c r="S42" s="2639"/>
      <c r="T42" s="2640"/>
    </row>
    <row r="43" spans="1:20" s="297" customFormat="1" ht="16.5" customHeight="1">
      <c r="A43" s="329"/>
      <c r="B43" s="1921" t="s">
        <v>2294</v>
      </c>
      <c r="C43" s="1922"/>
      <c r="D43" s="1930"/>
      <c r="E43" s="2681"/>
      <c r="F43" s="2682"/>
      <c r="G43" s="2682"/>
      <c r="H43" s="2683"/>
      <c r="I43" s="2712"/>
      <c r="J43" s="2713"/>
      <c r="K43" s="408"/>
      <c r="L43" s="408"/>
      <c r="M43" s="408"/>
      <c r="N43" s="408"/>
      <c r="O43" s="408"/>
      <c r="P43" s="408"/>
      <c r="Q43" s="408"/>
      <c r="S43" s="2636"/>
      <c r="T43" s="2637"/>
    </row>
    <row r="44" spans="1:20" s="297" customFormat="1" ht="16.5" customHeight="1">
      <c r="A44" s="329"/>
      <c r="B44" s="1919" t="s">
        <v>833</v>
      </c>
      <c r="C44" s="1920"/>
      <c r="D44" s="1931"/>
      <c r="E44" s="2663"/>
      <c r="F44" s="2664"/>
      <c r="G44" s="2664"/>
      <c r="H44" s="2665"/>
      <c r="I44" s="2697"/>
      <c r="J44" s="2698"/>
      <c r="L44" s="1928" t="s">
        <v>536</v>
      </c>
      <c r="M44" s="1928"/>
      <c r="N44" s="1927" t="s">
        <v>537</v>
      </c>
      <c r="O44" s="1927"/>
      <c r="P44" s="448" t="s">
        <v>535</v>
      </c>
      <c r="Q44" s="408"/>
      <c r="S44" s="2639"/>
      <c r="T44" s="2640"/>
    </row>
    <row r="45" spans="1:20" s="297" customFormat="1" ht="16.5" customHeight="1">
      <c r="A45" s="329"/>
      <c r="B45" s="1919" t="s">
        <v>834</v>
      </c>
      <c r="C45" s="1920"/>
      <c r="D45" s="1931"/>
      <c r="E45" s="2663" t="s">
        <v>4297</v>
      </c>
      <c r="F45" s="2664"/>
      <c r="G45" s="2664"/>
      <c r="H45" s="2665"/>
      <c r="I45" s="2697">
        <v>8842130</v>
      </c>
      <c r="J45" s="2697"/>
      <c r="L45" s="1929">
        <f ca="1">'Part IV-Uses of Funds'!$J$174*10*'Part IV-Uses of Funds'!$N$167</f>
        <v>8858911.8223086912</v>
      </c>
      <c r="M45" s="1929"/>
      <c r="N45" s="1926">
        <f ca="1">I45-L45</f>
        <v>-16781.822308691218</v>
      </c>
      <c r="O45" s="1926"/>
      <c r="P45" s="449" t="s">
        <v>2648</v>
      </c>
      <c r="Q45" s="408"/>
      <c r="S45" s="2639"/>
      <c r="T45" s="2640"/>
    </row>
    <row r="46" spans="1:20" s="297" customFormat="1" ht="16.5" customHeight="1">
      <c r="A46" s="329"/>
      <c r="B46" s="1919" t="s">
        <v>835</v>
      </c>
      <c r="C46" s="1920"/>
      <c r="D46" s="1931"/>
      <c r="E46" s="2663" t="s">
        <v>4298</v>
      </c>
      <c r="F46" s="2664"/>
      <c r="G46" s="2664"/>
      <c r="H46" s="2665"/>
      <c r="I46" s="2697">
        <v>4877375</v>
      </c>
      <c r="J46" s="2697"/>
      <c r="L46" s="1929">
        <f ca="1">'Part IV-Uses of Funds'!$J$174*10*'Part IV-Uses of Funds'!$Q$167</f>
        <v>4872401.5022697803</v>
      </c>
      <c r="M46" s="1929"/>
      <c r="N46" s="1926">
        <f ca="1">I46-L46</f>
        <v>4973.4977302197367</v>
      </c>
      <c r="O46" s="1926"/>
      <c r="P46" s="450">
        <f ca="1">I45/I55</f>
        <v>0.35044271720040249</v>
      </c>
      <c r="Q46" s="408"/>
      <c r="S46" s="2639"/>
      <c r="T46" s="2640"/>
    </row>
    <row r="47" spans="1:20" s="297" customFormat="1" ht="16.5" customHeight="1">
      <c r="A47" s="329"/>
      <c r="B47" s="1919" t="s">
        <v>1464</v>
      </c>
      <c r="C47" s="1920"/>
      <c r="D47" s="1931"/>
      <c r="E47" s="2663"/>
      <c r="F47" s="2664"/>
      <c r="G47" s="2664"/>
      <c r="H47" s="2665"/>
      <c r="I47" s="2697"/>
      <c r="J47" s="2697"/>
      <c r="P47" s="450">
        <f ca="1">I46/I55</f>
        <v>0.19330642591833788</v>
      </c>
      <c r="Q47" s="408"/>
      <c r="S47" s="2643"/>
      <c r="T47" s="2644"/>
    </row>
    <row r="48" spans="1:20" s="297" customFormat="1" ht="16.5" customHeight="1">
      <c r="A48" s="329"/>
      <c r="B48" s="1792" t="s">
        <v>550</v>
      </c>
      <c r="C48" s="1793"/>
      <c r="D48" s="1797"/>
      <c r="E48" s="2663"/>
      <c r="F48" s="2664"/>
      <c r="G48" s="2664"/>
      <c r="H48" s="2665"/>
      <c r="I48" s="2697"/>
      <c r="J48" s="2697"/>
      <c r="K48" s="329"/>
      <c r="P48" s="451">
        <f ca="1">SUM(P46:P47)</f>
        <v>0.54374914311874034</v>
      </c>
      <c r="Q48" s="408"/>
      <c r="S48" s="2639"/>
      <c r="T48" s="2640"/>
    </row>
    <row r="49" spans="1:23" s="297" customFormat="1" ht="16.5" customHeight="1">
      <c r="A49" s="329"/>
      <c r="B49" s="1792" t="s">
        <v>1940</v>
      </c>
      <c r="C49" s="1793"/>
      <c r="D49" s="1797"/>
      <c r="E49" s="2663"/>
      <c r="F49" s="2664"/>
      <c r="G49" s="2664"/>
      <c r="H49" s="2665"/>
      <c r="I49" s="2697"/>
      <c r="J49" s="2697"/>
      <c r="N49" s="409"/>
      <c r="O49" s="409"/>
      <c r="P49" s="409"/>
      <c r="Q49" s="408"/>
      <c r="S49" s="2639"/>
      <c r="T49" s="2640"/>
    </row>
    <row r="50" spans="1:23" s="297" customFormat="1" ht="16.5" customHeight="1">
      <c r="A50" s="329"/>
      <c r="B50" s="1792" t="s">
        <v>1941</v>
      </c>
      <c r="C50" s="1793"/>
      <c r="D50" s="1797"/>
      <c r="E50" s="2663"/>
      <c r="F50" s="2664"/>
      <c r="G50" s="2664"/>
      <c r="H50" s="2665"/>
      <c r="I50" s="2697"/>
      <c r="J50" s="2697"/>
      <c r="M50" s="409"/>
      <c r="N50" s="409"/>
      <c r="O50" s="409"/>
      <c r="P50" s="409"/>
      <c r="Q50" s="408"/>
      <c r="S50" s="2639"/>
      <c r="T50" s="2640"/>
    </row>
    <row r="51" spans="1:23" s="297" customFormat="1" ht="16.5" customHeight="1">
      <c r="A51" s="329"/>
      <c r="B51" s="1792" t="s">
        <v>771</v>
      </c>
      <c r="C51" s="2686"/>
      <c r="D51" s="2686"/>
      <c r="E51" s="2663"/>
      <c r="F51" s="2664"/>
      <c r="G51" s="2664"/>
      <c r="H51" s="2665"/>
      <c r="I51" s="2697"/>
      <c r="J51" s="2697"/>
      <c r="M51" s="409"/>
      <c r="N51" s="409"/>
      <c r="O51" s="409"/>
      <c r="P51" s="409"/>
      <c r="Q51" s="408"/>
      <c r="S51" s="2639"/>
      <c r="T51" s="2640"/>
    </row>
    <row r="52" spans="1:23" s="297" customFormat="1" ht="16.5" customHeight="1">
      <c r="A52" s="329"/>
      <c r="B52" s="1792" t="s">
        <v>771</v>
      </c>
      <c r="C52" s="2687"/>
      <c r="D52" s="2687"/>
      <c r="E52" s="2663"/>
      <c r="F52" s="2664"/>
      <c r="G52" s="2664"/>
      <c r="H52" s="2665"/>
      <c r="I52" s="2697"/>
      <c r="J52" s="2697"/>
      <c r="K52" s="329"/>
      <c r="L52" s="410"/>
      <c r="M52" s="409"/>
      <c r="N52" s="409"/>
      <c r="O52" s="409"/>
      <c r="P52" s="409"/>
      <c r="Q52" s="408"/>
      <c r="S52" s="2639"/>
      <c r="T52" s="2640"/>
    </row>
    <row r="53" spans="1:23" s="297" customFormat="1" ht="16.5" customHeight="1">
      <c r="A53" s="329"/>
      <c r="B53" s="1795" t="s">
        <v>771</v>
      </c>
      <c r="C53" s="2688"/>
      <c r="D53" s="2688"/>
      <c r="E53" s="2672"/>
      <c r="F53" s="2673"/>
      <c r="G53" s="2673"/>
      <c r="H53" s="2674"/>
      <c r="I53" s="2705"/>
      <c r="J53" s="2705"/>
      <c r="K53" s="329"/>
      <c r="L53" s="410"/>
      <c r="M53" s="409"/>
      <c r="N53" s="409"/>
      <c r="O53" s="409"/>
      <c r="P53" s="409"/>
      <c r="Q53" s="408"/>
      <c r="S53" s="2639"/>
      <c r="T53" s="2640"/>
    </row>
    <row r="54" spans="1:23" s="297" customFormat="1" ht="16.5" customHeight="1">
      <c r="A54" s="329"/>
      <c r="B54" s="1783" t="s">
        <v>2295</v>
      </c>
      <c r="C54" s="329"/>
      <c r="D54" s="329"/>
      <c r="E54" s="329"/>
      <c r="F54" s="329"/>
      <c r="G54" s="329"/>
      <c r="I54" s="1916">
        <f>SUM(I37:J53)</f>
        <v>25231313</v>
      </c>
      <c r="J54" s="1917"/>
      <c r="K54" s="329"/>
      <c r="L54" s="410"/>
      <c r="M54" s="409"/>
      <c r="N54" s="409"/>
      <c r="O54" s="409"/>
      <c r="P54" s="409"/>
      <c r="Q54" s="408"/>
      <c r="S54" s="2639"/>
      <c r="T54" s="2640"/>
    </row>
    <row r="55" spans="1:23" s="297" customFormat="1" ht="16.5" customHeight="1" thickBot="1">
      <c r="A55" s="329"/>
      <c r="B55" s="1783" t="s">
        <v>2296</v>
      </c>
      <c r="C55" s="329"/>
      <c r="D55" s="329"/>
      <c r="E55" s="329"/>
      <c r="F55" s="329"/>
      <c r="G55" s="329"/>
      <c r="I55" s="1914">
        <f ca="1">'Part IV-Uses of Funds'!$G$131</f>
        <v>25231313.324578471</v>
      </c>
      <c r="J55" s="1915"/>
      <c r="K55" s="329"/>
      <c r="L55" s="410"/>
      <c r="M55" s="409"/>
      <c r="N55" s="409"/>
      <c r="O55" s="409"/>
      <c r="P55" s="409"/>
      <c r="Q55" s="408"/>
      <c r="S55" s="2639"/>
      <c r="T55" s="2640"/>
    </row>
    <row r="56" spans="1:23" s="297" customFormat="1" ht="16.5" customHeight="1" thickBot="1">
      <c r="A56" s="329"/>
      <c r="B56" s="334" t="s">
        <v>1582</v>
      </c>
      <c r="C56" s="329"/>
      <c r="D56" s="329"/>
      <c r="E56" s="329"/>
      <c r="F56" s="329"/>
      <c r="G56" s="329"/>
      <c r="I56" s="1924">
        <f ca="1">I54-I55</f>
        <v>-0.32457847148180008</v>
      </c>
      <c r="J56" s="1925"/>
      <c r="K56" s="329"/>
      <c r="L56" s="410"/>
      <c r="M56" s="409"/>
      <c r="N56" s="409"/>
      <c r="O56" s="409"/>
      <c r="P56" s="409"/>
      <c r="Q56" s="408"/>
      <c r="S56" s="2643"/>
      <c r="T56" s="2644"/>
    </row>
    <row r="57" spans="1:23" s="297" customFormat="1" ht="13.15" customHeight="1">
      <c r="A57" s="329" t="s">
        <v>3728</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574" t="s">
        <v>4358</v>
      </c>
      <c r="B61" s="2714"/>
      <c r="C61" s="2714"/>
      <c r="D61" s="2714"/>
      <c r="E61" s="2714"/>
      <c r="F61" s="2714"/>
      <c r="G61" s="2714"/>
      <c r="H61" s="2714"/>
      <c r="I61" s="2714"/>
      <c r="J61" s="2715"/>
      <c r="K61" s="2577"/>
      <c r="L61" s="2714"/>
      <c r="M61" s="2714"/>
      <c r="N61" s="2714"/>
      <c r="O61" s="2714"/>
      <c r="P61" s="2714"/>
      <c r="Q61" s="2715"/>
      <c r="S61" s="1936" t="s">
        <v>2796</v>
      </c>
      <c r="T61" s="1936"/>
      <c r="U61" s="535"/>
      <c r="V61" s="535"/>
      <c r="W61" s="535"/>
    </row>
    <row r="62" spans="1:23" ht="11.25" customHeight="1">
      <c r="S62" s="535"/>
      <c r="T62" s="535"/>
      <c r="U62" s="535"/>
      <c r="V62" s="535"/>
      <c r="W62" s="535"/>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kWbMSA6agJdgGHAbbmT3DLpOt4qyBKDECYvTHxR6c2TtI5rwe9kTdY/DWNKYXIemovTx8a6/9OXJI5Dv2kxDyA==" saltValue="S1AT1vsqvKhxjsr+DZxMW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945" t="str">
        <f>CONCATENATE("PART III B: USD 538 LOAN","  -  ",'Part I-Project Information'!$O$4," ",'Part I-Project Information'!$F$24,", ",'Part I-Project Information'!$F$28,", ",'Part I-Project Information'!$J$29," County")</f>
        <v>PART III B: USD 538 LOAN  -  2016-524 Wheat Street Tower, Atlanta, Fulton County</v>
      </c>
      <c r="B1" s="1946"/>
      <c r="C1" s="1946"/>
      <c r="D1" s="1946"/>
      <c r="E1" s="1946"/>
      <c r="F1" s="1947"/>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954" t="s">
        <v>224</v>
      </c>
      <c r="B3" s="1954"/>
      <c r="C3" s="1954"/>
      <c r="D3" s="1954"/>
      <c r="E3" s="1954"/>
      <c r="F3" s="1954"/>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955" t="s">
        <v>130</v>
      </c>
      <c r="B14" s="1955"/>
      <c r="C14" s="1955"/>
      <c r="D14" s="1955"/>
      <c r="E14" s="1955"/>
      <c r="F14" s="1955"/>
      <c r="G14" s="212"/>
      <c r="H14" s="212"/>
    </row>
    <row r="15" spans="1:17" ht="5.45" customHeight="1">
      <c r="A15" s="29"/>
      <c r="E15" s="223"/>
      <c r="F15" s="212"/>
      <c r="G15" s="212"/>
      <c r="H15" s="212"/>
    </row>
    <row r="16" spans="1:17" ht="13.15" customHeight="1">
      <c r="A16" s="225" t="s">
        <v>2566</v>
      </c>
      <c r="B16" s="226" t="s">
        <v>2563</v>
      </c>
      <c r="C16" s="226" t="s">
        <v>2564</v>
      </c>
      <c r="D16" s="1951" t="s">
        <v>2334</v>
      </c>
      <c r="E16" s="1951"/>
      <c r="F16" s="212"/>
      <c r="G16" s="212"/>
      <c r="H16" s="212"/>
    </row>
    <row r="17" spans="1:8" ht="12.6" customHeight="1">
      <c r="A17" s="85">
        <v>1</v>
      </c>
      <c r="B17" s="201">
        <f>IF(A17&gt;$C$9,0,SUM(C64:C75)*($C$6/$C$7))</f>
        <v>0</v>
      </c>
      <c r="C17" s="224">
        <f>IF(A17&gt;C9,0,(E63+K63)*$C$8)</f>
        <v>0</v>
      </c>
      <c r="D17" s="1956">
        <f t="shared" ref="D17:D56" si="0">IF(A17&gt;$C$9,0,$C$11+C17)</f>
        <v>0</v>
      </c>
      <c r="E17" s="1956"/>
      <c r="F17" s="212"/>
      <c r="G17" s="212"/>
      <c r="H17" s="212"/>
    </row>
    <row r="18" spans="1:8" ht="12.6" customHeight="1">
      <c r="A18" s="85">
        <v>2</v>
      </c>
      <c r="B18" s="201">
        <f>IF(A18&gt;C9,0,SUM(C76:C87)*($C$6/$C$7))</f>
        <v>0</v>
      </c>
      <c r="C18" s="231">
        <f>IF(A18&gt;C9,0,(E75+K75)*$C$8)</f>
        <v>0</v>
      </c>
      <c r="D18" s="1948">
        <f t="shared" si="0"/>
        <v>0</v>
      </c>
      <c r="E18" s="1948"/>
      <c r="F18" s="212"/>
      <c r="G18" s="212"/>
      <c r="H18" s="212"/>
    </row>
    <row r="19" spans="1:8" ht="12.6" customHeight="1">
      <c r="A19" s="85">
        <v>3</v>
      </c>
      <c r="B19" s="201">
        <f>IF(A19&gt;C9,0,SUM(C88:C99)*($C$6/$C$7))</f>
        <v>0</v>
      </c>
      <c r="C19" s="224">
        <f>IF(A19&gt;C9,0,(E87+K87)*$C$8)</f>
        <v>0</v>
      </c>
      <c r="D19" s="1948">
        <f t="shared" si="0"/>
        <v>0</v>
      </c>
      <c r="E19" s="1948"/>
      <c r="F19" s="212"/>
      <c r="G19" s="212"/>
      <c r="H19" s="212"/>
    </row>
    <row r="20" spans="1:8" ht="12.6" customHeight="1">
      <c r="A20" s="85">
        <v>4</v>
      </c>
      <c r="B20" s="201">
        <f>IF(A20&gt;C9,0,SUM(C100:C111)*($C$6/$C$7))</f>
        <v>0</v>
      </c>
      <c r="C20" s="224">
        <f>IF(A20&gt;C9,0,(E99+K99)*$C$8)</f>
        <v>0</v>
      </c>
      <c r="D20" s="1948">
        <f t="shared" si="0"/>
        <v>0</v>
      </c>
      <c r="E20" s="1948"/>
      <c r="F20" s="212"/>
      <c r="G20" s="212"/>
      <c r="H20" s="212"/>
    </row>
    <row r="21" spans="1:8" ht="12.6" customHeight="1">
      <c r="A21" s="85">
        <v>5</v>
      </c>
      <c r="B21" s="201">
        <f>IF(A21&gt;C9,0,SUM(C112:C123)*($C$6/$C$7))</f>
        <v>0</v>
      </c>
      <c r="C21" s="224">
        <f>IF(A21&gt;C9,0,(E111+K111)*$C$8)</f>
        <v>0</v>
      </c>
      <c r="D21" s="1949">
        <f t="shared" si="0"/>
        <v>0</v>
      </c>
      <c r="E21" s="1949"/>
      <c r="F21" s="212"/>
      <c r="G21" s="212"/>
      <c r="H21" s="212"/>
    </row>
    <row r="22" spans="1:8" ht="12.6" customHeight="1">
      <c r="A22" s="202">
        <v>6</v>
      </c>
      <c r="B22" s="203">
        <f>IF(A22&gt;C9,0,SUM(C124:C135)*($C$6/$C$7))</f>
        <v>0</v>
      </c>
      <c r="C22" s="228">
        <f>IF(A22&gt;C9,0,(E123+K123)*$C$8)</f>
        <v>0</v>
      </c>
      <c r="D22" s="1948">
        <f t="shared" si="0"/>
        <v>0</v>
      </c>
      <c r="E22" s="1948"/>
      <c r="F22" s="212"/>
      <c r="G22" s="212"/>
      <c r="H22" s="212"/>
    </row>
    <row r="23" spans="1:8" ht="12.6" customHeight="1">
      <c r="A23" s="204">
        <v>7</v>
      </c>
      <c r="B23" s="205">
        <f>IF(A23&gt;C9,0,SUM(C136:C147)*($C$6/$C$7))</f>
        <v>0</v>
      </c>
      <c r="C23" s="206">
        <f>IF(A23&gt;C9,0,(E135+K135)*$C$8)</f>
        <v>0</v>
      </c>
      <c r="D23" s="1948">
        <f t="shared" si="0"/>
        <v>0</v>
      </c>
      <c r="E23" s="1948"/>
      <c r="F23" s="212"/>
      <c r="G23" s="212"/>
      <c r="H23" s="212"/>
    </row>
    <row r="24" spans="1:8" ht="12.6" customHeight="1">
      <c r="A24" s="204">
        <v>8</v>
      </c>
      <c r="B24" s="205">
        <f>IF(A24&gt;C9,0,SUM(C148:C159)*($C$6/$C$7))</f>
        <v>0</v>
      </c>
      <c r="C24" s="206">
        <f>IF(A24&gt;C9,0,(E147+K147)*$C$8)</f>
        <v>0</v>
      </c>
      <c r="D24" s="1948">
        <f t="shared" si="0"/>
        <v>0</v>
      </c>
      <c r="E24" s="1948"/>
      <c r="F24" s="212"/>
      <c r="G24" s="212"/>
      <c r="H24" s="212"/>
    </row>
    <row r="25" spans="1:8" ht="12.6" customHeight="1">
      <c r="A25" s="204">
        <v>9</v>
      </c>
      <c r="B25" s="205">
        <f>IF(A25&gt;C9,0,SUM(C160:C171)*($C$6/$C$7))</f>
        <v>0</v>
      </c>
      <c r="C25" s="206">
        <f>IF(A25&gt;C9,0,(E159+K159)*$C$8)</f>
        <v>0</v>
      </c>
      <c r="D25" s="1948">
        <f t="shared" si="0"/>
        <v>0</v>
      </c>
      <c r="E25" s="1948"/>
      <c r="F25" s="212"/>
      <c r="G25" s="212"/>
      <c r="H25" s="212"/>
    </row>
    <row r="26" spans="1:8" ht="12.6" customHeight="1">
      <c r="A26" s="207">
        <v>10</v>
      </c>
      <c r="B26" s="208">
        <f>IF(A26&gt;C9,0,SUM(C172:C183)*($C$6/$C$7))</f>
        <v>0</v>
      </c>
      <c r="C26" s="227">
        <f>IF(A26&gt;C9,0,(E171+K171)*$C$8)</f>
        <v>0</v>
      </c>
      <c r="D26" s="1949">
        <f t="shared" si="0"/>
        <v>0</v>
      </c>
      <c r="E26" s="1949"/>
      <c r="F26" s="212"/>
      <c r="G26" s="212"/>
      <c r="H26" s="212"/>
    </row>
    <row r="27" spans="1:8" ht="12.6" customHeight="1">
      <c r="A27" s="209">
        <v>11</v>
      </c>
      <c r="B27" s="201">
        <f>IF(A27&gt;C9,0,SUM(C184:C195)*($C$6/$C$7))</f>
        <v>0</v>
      </c>
      <c r="C27" s="224">
        <f>IF(A27&gt;C9,0,(E183+K183)*$C$8)</f>
        <v>0</v>
      </c>
      <c r="D27" s="1948">
        <f t="shared" si="0"/>
        <v>0</v>
      </c>
      <c r="E27" s="1948"/>
      <c r="F27" s="212"/>
      <c r="G27" s="212"/>
      <c r="H27" s="212"/>
    </row>
    <row r="28" spans="1:8" ht="12.6" customHeight="1">
      <c r="A28" s="209">
        <v>12</v>
      </c>
      <c r="B28" s="201">
        <f>IF(A28&gt;C9,0,SUM(C196:C207)*($C$6/$C$7))</f>
        <v>0</v>
      </c>
      <c r="C28" s="224">
        <f>IF(A28&gt;C9,0,(E195+K195)*$C$8)</f>
        <v>0</v>
      </c>
      <c r="D28" s="1948">
        <f t="shared" si="0"/>
        <v>0</v>
      </c>
      <c r="E28" s="1948"/>
      <c r="F28" s="212"/>
      <c r="G28" s="212"/>
      <c r="H28" s="212"/>
    </row>
    <row r="29" spans="1:8" ht="12.6" customHeight="1">
      <c r="A29" s="209">
        <v>13</v>
      </c>
      <c r="B29" s="201">
        <f>IF(A29&gt;C9,0,SUM(C208:C219)*($C$6/$C$7))</f>
        <v>0</v>
      </c>
      <c r="C29" s="224">
        <f>IF(A29&gt;C9,0,(E207+K207)*$C$8)</f>
        <v>0</v>
      </c>
      <c r="D29" s="1948">
        <f t="shared" si="0"/>
        <v>0</v>
      </c>
      <c r="E29" s="1948"/>
      <c r="F29" s="212"/>
      <c r="G29" s="212"/>
      <c r="H29" s="212"/>
    </row>
    <row r="30" spans="1:8" ht="12.6" customHeight="1">
      <c r="A30" s="209">
        <v>14</v>
      </c>
      <c r="B30" s="201">
        <f>IF(A30&gt;C9,0,SUM(C220:C231)*($C$6/$C$7))</f>
        <v>0</v>
      </c>
      <c r="C30" s="224">
        <f>IF(A30&gt;C9,0,(E219+K219)*$C$8)</f>
        <v>0</v>
      </c>
      <c r="D30" s="1948">
        <f t="shared" si="0"/>
        <v>0</v>
      </c>
      <c r="E30" s="1948"/>
      <c r="F30" s="212"/>
      <c r="G30" s="212"/>
      <c r="H30" s="212"/>
    </row>
    <row r="31" spans="1:8" ht="12.6" customHeight="1">
      <c r="A31" s="209">
        <v>15</v>
      </c>
      <c r="B31" s="201">
        <f>IF(A31&gt;C9,0,SUM(C232:C243)*($C$6/$C$7))</f>
        <v>0</v>
      </c>
      <c r="C31" s="224">
        <f>IF(A31&gt;C9,0,(E231+K231)*$C$8)</f>
        <v>0</v>
      </c>
      <c r="D31" s="1949">
        <f t="shared" si="0"/>
        <v>0</v>
      </c>
      <c r="E31" s="1949"/>
      <c r="F31" s="212"/>
      <c r="G31" s="212"/>
      <c r="H31" s="212"/>
    </row>
    <row r="32" spans="1:8" ht="12.6" customHeight="1">
      <c r="A32" s="211">
        <v>16</v>
      </c>
      <c r="B32" s="203">
        <f>IF(A32&gt;C9,0,SUM(C244:C255)*($C$6/$C$7))</f>
        <v>0</v>
      </c>
      <c r="C32" s="228">
        <f>IF(A32&gt;C9,0,(E243+K243)*$C$8)</f>
        <v>0</v>
      </c>
      <c r="D32" s="1948">
        <f t="shared" si="0"/>
        <v>0</v>
      </c>
      <c r="E32" s="1948"/>
      <c r="F32" s="212"/>
      <c r="G32" s="212"/>
      <c r="H32" s="212"/>
    </row>
    <row r="33" spans="1:8" ht="12.6" customHeight="1">
      <c r="A33" s="204">
        <v>17</v>
      </c>
      <c r="B33" s="205">
        <f>IF(A33&gt;C9,0,SUM(C256:C267)*($C$6/$C$7))</f>
        <v>0</v>
      </c>
      <c r="C33" s="206">
        <f>IF(A33&gt;C9,0,(E255+K255)*$C$8)</f>
        <v>0</v>
      </c>
      <c r="D33" s="1948">
        <f t="shared" si="0"/>
        <v>0</v>
      </c>
      <c r="E33" s="1948"/>
      <c r="F33" s="212"/>
      <c r="G33" s="212"/>
      <c r="H33" s="212"/>
    </row>
    <row r="34" spans="1:8" ht="12.6" customHeight="1">
      <c r="A34" s="204">
        <v>18</v>
      </c>
      <c r="B34" s="205">
        <f>IF(A34&gt;C9,0,SUM(C268:C279)*($C$6/$C$7))</f>
        <v>0</v>
      </c>
      <c r="C34" s="206">
        <f>IF(A34&gt;C9,0,(E267+K267)*$C$8)</f>
        <v>0</v>
      </c>
      <c r="D34" s="1948">
        <f t="shared" si="0"/>
        <v>0</v>
      </c>
      <c r="E34" s="1948"/>
      <c r="F34" s="212"/>
      <c r="G34" s="212"/>
      <c r="H34" s="212"/>
    </row>
    <row r="35" spans="1:8" ht="12.6" customHeight="1">
      <c r="A35" s="204">
        <v>19</v>
      </c>
      <c r="B35" s="205">
        <f>IF(A35&gt;C9,0,SUM(C280:C291)*($C$6/$C$7))</f>
        <v>0</v>
      </c>
      <c r="C35" s="206">
        <f>IF(A35&gt;C9,0,(E279+K279)*$C$8)</f>
        <v>0</v>
      </c>
      <c r="D35" s="1948">
        <f t="shared" si="0"/>
        <v>0</v>
      </c>
      <c r="E35" s="1948"/>
      <c r="F35" s="212"/>
      <c r="G35" s="212"/>
      <c r="H35" s="212"/>
    </row>
    <row r="36" spans="1:8" ht="12.6" customHeight="1">
      <c r="A36" s="207">
        <v>20</v>
      </c>
      <c r="B36" s="208">
        <f>IF(A36&gt;C9,0,SUM(C292:C303)*($C$6/$C$7))</f>
        <v>0</v>
      </c>
      <c r="C36" s="227">
        <f>IF(A36&gt;C9,0,(E291+K291)*$C$8)</f>
        <v>0</v>
      </c>
      <c r="D36" s="1949">
        <f t="shared" si="0"/>
        <v>0</v>
      </c>
      <c r="E36" s="1949"/>
      <c r="F36" s="212"/>
      <c r="G36" s="212"/>
      <c r="H36" s="212"/>
    </row>
    <row r="37" spans="1:8" ht="12.6" customHeight="1">
      <c r="A37" s="85">
        <v>21</v>
      </c>
      <c r="B37" s="203">
        <f>IF(A37&gt;C9,0,SUM(C293:C304)*($C$6/$C$7))</f>
        <v>0</v>
      </c>
      <c r="C37" s="228">
        <f>IF(A37&gt;C9,0,(E303+K303)*$C$8)</f>
        <v>0</v>
      </c>
      <c r="D37" s="1950">
        <f t="shared" si="0"/>
        <v>0</v>
      </c>
      <c r="E37" s="1950"/>
      <c r="F37" s="212"/>
      <c r="G37" s="212"/>
      <c r="H37" s="212"/>
    </row>
    <row r="38" spans="1:8" ht="12.6" customHeight="1">
      <c r="A38" s="85">
        <v>22</v>
      </c>
      <c r="B38" s="205">
        <f>IF(A38&gt;C9,0,SUM(C294:C305)*($C$6/$C$7))</f>
        <v>0</v>
      </c>
      <c r="C38" s="206">
        <f>IF(A38&gt;C9,0,(E315+K315)*$C$8)</f>
        <v>0</v>
      </c>
      <c r="D38" s="1948">
        <f t="shared" si="0"/>
        <v>0</v>
      </c>
      <c r="E38" s="1948"/>
      <c r="F38" s="212"/>
      <c r="G38" s="212"/>
      <c r="H38" s="212"/>
    </row>
    <row r="39" spans="1:8" ht="12.6" customHeight="1">
      <c r="A39" s="85">
        <v>23</v>
      </c>
      <c r="B39" s="205">
        <f>IF(A39&gt;C9,0,SUM(C295:C306)*($C$6/$C$7))</f>
        <v>0</v>
      </c>
      <c r="C39" s="206">
        <f>IF(A39&gt;C9,0,(E327+K327)*$C$8)</f>
        <v>0</v>
      </c>
      <c r="D39" s="1948">
        <f t="shared" si="0"/>
        <v>0</v>
      </c>
      <c r="E39" s="1948"/>
      <c r="F39" s="212"/>
      <c r="G39" s="212"/>
      <c r="H39" s="212"/>
    </row>
    <row r="40" spans="1:8" ht="12.6" customHeight="1">
      <c r="A40" s="85">
        <v>24</v>
      </c>
      <c r="B40" s="205">
        <f>IF(A40&gt;C9,0,SUM(C296:C307)*($C$6/$C$7))</f>
        <v>0</v>
      </c>
      <c r="C40" s="206">
        <f>IF(A40&gt;C9,0,(E339+K339)*$C$8)</f>
        <v>0</v>
      </c>
      <c r="D40" s="1948">
        <f t="shared" si="0"/>
        <v>0</v>
      </c>
      <c r="E40" s="1948"/>
      <c r="F40" s="212"/>
      <c r="G40" s="212"/>
      <c r="H40" s="212"/>
    </row>
    <row r="41" spans="1:8" ht="12.6" customHeight="1">
      <c r="A41" s="85">
        <v>25</v>
      </c>
      <c r="B41" s="208">
        <f>IF(A41&gt;C9,0,SUM(C297:C308)*($C$6/$C$7))</f>
        <v>0</v>
      </c>
      <c r="C41" s="227">
        <f>IF(A41&gt;C9,0,(E351+K351)*$C$8)</f>
        <v>0</v>
      </c>
      <c r="D41" s="1949">
        <f t="shared" si="0"/>
        <v>0</v>
      </c>
      <c r="E41" s="1949"/>
      <c r="F41" s="212"/>
      <c r="G41" s="212"/>
      <c r="H41" s="212"/>
    </row>
    <row r="42" spans="1:8" ht="12.6" customHeight="1">
      <c r="A42" s="202">
        <v>26</v>
      </c>
      <c r="B42" s="203">
        <f>IF(A42&gt;C9,0,SUM(C298:C309)*($C$6/$C$7))</f>
        <v>0</v>
      </c>
      <c r="C42" s="228">
        <f>IF(A42&gt;C9,0,(E363+K363)*$C$8)</f>
        <v>0</v>
      </c>
      <c r="D42" s="1950">
        <f t="shared" si="0"/>
        <v>0</v>
      </c>
      <c r="E42" s="1950"/>
      <c r="F42" s="212"/>
      <c r="G42" s="212"/>
      <c r="H42" s="212"/>
    </row>
    <row r="43" spans="1:8" ht="12.6" customHeight="1">
      <c r="A43" s="204">
        <v>27</v>
      </c>
      <c r="B43" s="205">
        <f>IF(A43&gt;C9,0,SUM(C299:C310)*($C$6/$C$7))</f>
        <v>0</v>
      </c>
      <c r="C43" s="206">
        <f>IF(A43&gt;C9,0,(E375+K375)*$C$8)</f>
        <v>0</v>
      </c>
      <c r="D43" s="1948">
        <f t="shared" si="0"/>
        <v>0</v>
      </c>
      <c r="E43" s="1948"/>
      <c r="F43" s="212"/>
      <c r="G43" s="212"/>
      <c r="H43" s="212"/>
    </row>
    <row r="44" spans="1:8" ht="12.6" customHeight="1">
      <c r="A44" s="204">
        <v>28</v>
      </c>
      <c r="B44" s="205">
        <f>IF(A44&gt;C9,0,SUM(C300:C311)*($C$6/$C$7))</f>
        <v>0</v>
      </c>
      <c r="C44" s="206">
        <f>IF(A44&gt;C9,0,(E387+K387)*$C$8)</f>
        <v>0</v>
      </c>
      <c r="D44" s="1948">
        <f t="shared" si="0"/>
        <v>0</v>
      </c>
      <c r="E44" s="1948"/>
      <c r="F44" s="212"/>
      <c r="G44" s="212"/>
      <c r="H44" s="212"/>
    </row>
    <row r="45" spans="1:8" ht="12.6" customHeight="1">
      <c r="A45" s="204">
        <v>29</v>
      </c>
      <c r="B45" s="205">
        <f>IF(A45&gt;C9,0,SUM(C301:C312)*($C$6/$C$7))</f>
        <v>0</v>
      </c>
      <c r="C45" s="206">
        <f>IF(A45&gt;C9,0,(E411+K411)*$C$8)</f>
        <v>0</v>
      </c>
      <c r="D45" s="1948">
        <f t="shared" si="0"/>
        <v>0</v>
      </c>
      <c r="E45" s="1948"/>
      <c r="F45" s="212"/>
      <c r="G45" s="212"/>
      <c r="H45" s="212"/>
    </row>
    <row r="46" spans="1:8" ht="12.6" customHeight="1">
      <c r="A46" s="207">
        <v>30</v>
      </c>
      <c r="B46" s="208">
        <f>IF(A46&gt;C9,0,SUM(C302:C313)*($C$6/$C$7))</f>
        <v>0</v>
      </c>
      <c r="C46" s="227">
        <f>IF(A46&gt;C9,0,(E423+K423)*$C$8)</f>
        <v>0</v>
      </c>
      <c r="D46" s="1949">
        <f t="shared" si="0"/>
        <v>0</v>
      </c>
      <c r="E46" s="1949"/>
      <c r="F46" s="212"/>
      <c r="G46" s="212"/>
      <c r="H46" s="212"/>
    </row>
    <row r="47" spans="1:8" ht="12.6" customHeight="1">
      <c r="A47" s="211">
        <v>31</v>
      </c>
      <c r="B47" s="203">
        <f>IF(A47&gt;C9,0,SUM(C303:C314)*($C$6/$C$7))</f>
        <v>0</v>
      </c>
      <c r="C47" s="228">
        <f>IF(A47&gt;C9,0,(E435+K435)*$C$8)</f>
        <v>0</v>
      </c>
      <c r="D47" s="1950">
        <f t="shared" si="0"/>
        <v>0</v>
      </c>
      <c r="E47" s="1950"/>
      <c r="F47" s="212"/>
      <c r="G47" s="212"/>
      <c r="H47" s="212"/>
    </row>
    <row r="48" spans="1:8" ht="12.6" customHeight="1">
      <c r="A48" s="204">
        <v>32</v>
      </c>
      <c r="B48" s="205">
        <f>IF(A48&gt;C9,0,SUM(C304:C315)*($C$6/$C$7))</f>
        <v>0</v>
      </c>
      <c r="C48" s="206">
        <f>IF(A48&gt;C9,0,(E447+K447)*$C$8)</f>
        <v>0</v>
      </c>
      <c r="D48" s="1948">
        <f t="shared" si="0"/>
        <v>0</v>
      </c>
      <c r="E48" s="1948"/>
      <c r="F48" s="212"/>
      <c r="G48" s="212"/>
      <c r="H48" s="212"/>
    </row>
    <row r="49" spans="1:12" ht="12.6" customHeight="1">
      <c r="A49" s="204">
        <v>33</v>
      </c>
      <c r="B49" s="205">
        <f>IF(A49&gt;C9,0,SUM(C305:C316)*($C$6/$C$7))</f>
        <v>0</v>
      </c>
      <c r="C49" s="206">
        <f>IF(A49&gt;C9,0,(E459+K459)*$C$8)</f>
        <v>0</v>
      </c>
      <c r="D49" s="1948">
        <f t="shared" si="0"/>
        <v>0</v>
      </c>
      <c r="E49" s="1948"/>
      <c r="F49" s="212"/>
      <c r="G49" s="212"/>
      <c r="H49" s="212"/>
    </row>
    <row r="50" spans="1:12" ht="12.6" customHeight="1">
      <c r="A50" s="204">
        <v>34</v>
      </c>
      <c r="B50" s="205">
        <f>IF(A50&gt;C9,0,SUM(C306:C317)*($C$6/$C$7))</f>
        <v>0</v>
      </c>
      <c r="C50" s="206">
        <f>IF(A50&gt;C9,0,(E471+K471)*$C$8)</f>
        <v>0</v>
      </c>
      <c r="D50" s="1948">
        <f t="shared" si="0"/>
        <v>0</v>
      </c>
      <c r="E50" s="1948"/>
      <c r="F50" s="212"/>
      <c r="G50" s="212"/>
      <c r="H50" s="212"/>
    </row>
    <row r="51" spans="1:12" ht="12.6" customHeight="1">
      <c r="A51" s="207">
        <v>35</v>
      </c>
      <c r="B51" s="208">
        <f>IF(A51&gt;C9,0,SUM(C307:C318)*($C$6/$C$7))</f>
        <v>0</v>
      </c>
      <c r="C51" s="227">
        <f>IF(A51&gt;C9,0,(E483+K483)*$C$8)</f>
        <v>0</v>
      </c>
      <c r="D51" s="1949">
        <f t="shared" si="0"/>
        <v>0</v>
      </c>
      <c r="E51" s="1949"/>
      <c r="F51" s="212"/>
      <c r="G51" s="212"/>
      <c r="H51" s="212"/>
    </row>
    <row r="52" spans="1:12" ht="12.6" customHeight="1">
      <c r="A52" s="211">
        <v>36</v>
      </c>
      <c r="B52" s="203">
        <f>IF(A52&gt;C9,0,SUM(C308:C319)*($C$6/$C$7))</f>
        <v>0</v>
      </c>
      <c r="C52" s="228">
        <f>IF(A52&gt;C9,0,(E495+K495)*$C$8)</f>
        <v>0</v>
      </c>
      <c r="D52" s="1950">
        <f t="shared" si="0"/>
        <v>0</v>
      </c>
      <c r="E52" s="1950"/>
      <c r="F52" s="212"/>
      <c r="G52" s="212"/>
      <c r="H52" s="212"/>
    </row>
    <row r="53" spans="1:12" ht="12.6" customHeight="1">
      <c r="A53" s="204">
        <v>37</v>
      </c>
      <c r="B53" s="205">
        <f>IF(A53&gt;C9,0,SUM(C309:C320)*($C$6/$C$7))</f>
        <v>0</v>
      </c>
      <c r="C53" s="206">
        <f>IF(A53&gt;C9,0,(E507+K507)*$C$8)</f>
        <v>0</v>
      </c>
      <c r="D53" s="1948">
        <f t="shared" si="0"/>
        <v>0</v>
      </c>
      <c r="E53" s="1948"/>
      <c r="F53" s="212"/>
      <c r="G53" s="212"/>
      <c r="H53" s="212"/>
    </row>
    <row r="54" spans="1:12" ht="12.6" customHeight="1">
      <c r="A54" s="204">
        <v>38</v>
      </c>
      <c r="B54" s="205">
        <f>IF(A54&gt;C9,0,SUM(C310:C321)*($C$6/$C$7))</f>
        <v>0</v>
      </c>
      <c r="C54" s="206">
        <f>IF(A54&gt;C9,0,(E519+K519)*$C$8)</f>
        <v>0</v>
      </c>
      <c r="D54" s="1948">
        <f t="shared" si="0"/>
        <v>0</v>
      </c>
      <c r="E54" s="1948"/>
      <c r="F54" s="212"/>
      <c r="G54" s="212"/>
      <c r="H54" s="212"/>
    </row>
    <row r="55" spans="1:12" ht="12.6" customHeight="1">
      <c r="A55" s="204">
        <v>39</v>
      </c>
      <c r="B55" s="205">
        <f>IF(A55&gt;C9,0,SUM(C311:C322)*($C$6/$C$7))</f>
        <v>0</v>
      </c>
      <c r="C55" s="206">
        <f>IF(A55&gt;C9,0,(E531+K531)*$C$8)</f>
        <v>0</v>
      </c>
      <c r="D55" s="1948">
        <f t="shared" si="0"/>
        <v>0</v>
      </c>
      <c r="E55" s="1948"/>
      <c r="F55" s="212"/>
      <c r="G55" s="212"/>
      <c r="H55" s="212"/>
    </row>
    <row r="56" spans="1:12" ht="12.6" customHeight="1">
      <c r="A56" s="207">
        <v>40</v>
      </c>
      <c r="B56" s="208">
        <f>IF(A56&gt;C9,0,SUM(C312:C323)*($C$6/$C$7))</f>
        <v>0</v>
      </c>
      <c r="C56" s="227">
        <f>IF(A56&gt;C9,0,(E543+K543)*$C$8)</f>
        <v>0</v>
      </c>
      <c r="D56" s="1949">
        <f t="shared" si="0"/>
        <v>0</v>
      </c>
      <c r="E56" s="1949"/>
      <c r="F56" s="212"/>
      <c r="G56" s="212"/>
      <c r="H56" s="212"/>
    </row>
    <row r="57" spans="1:12" ht="3" customHeight="1">
      <c r="A57" s="212"/>
      <c r="B57" s="212"/>
      <c r="C57" s="212"/>
      <c r="D57" s="212"/>
      <c r="E57" s="212"/>
      <c r="F57" s="212"/>
      <c r="G57" s="212"/>
      <c r="H57" s="212"/>
    </row>
    <row r="58" spans="1:12" ht="13.15" customHeight="1">
      <c r="A58" s="1952" t="str">
        <f>CONCATENATE('Part I-Project Information'!$O$4," ",'Part I-Project Information'!$F$24,", ",'Part I-Project Information'!$F$28,", ",'Part I-Project Information'!$J$29," County")</f>
        <v>2016-524 Wheat Street Tower, Atlanta, Fulton County</v>
      </c>
      <c r="B58" s="1952"/>
      <c r="C58" s="1952"/>
      <c r="D58" s="1952"/>
      <c r="E58" s="1952"/>
      <c r="F58" s="1952"/>
      <c r="G58" s="1952" t="str">
        <f>CONCATENATE('Part I-Project Information'!$O$4," ",'Part I-Project Information'!$F$24,", ",'Part I-Project Information'!$F$28,", ",'Part I-Project Information'!$J$29," County")</f>
        <v>2016-524 Wheat Street Tower, Atlanta, Fulton County</v>
      </c>
      <c r="H58" s="1952"/>
      <c r="I58" s="1952"/>
      <c r="J58" s="1952"/>
      <c r="K58" s="1952"/>
      <c r="L58" s="1952"/>
    </row>
    <row r="59" spans="1:12" ht="15">
      <c r="A59" s="1953" t="s">
        <v>2557</v>
      </c>
      <c r="B59" s="1953"/>
      <c r="C59" s="1953"/>
      <c r="D59" s="1953"/>
      <c r="E59" s="1953"/>
      <c r="F59" s="1953"/>
      <c r="G59" s="1953" t="s">
        <v>2557</v>
      </c>
      <c r="H59" s="1953"/>
      <c r="I59" s="1953"/>
      <c r="J59" s="1953"/>
      <c r="K59" s="1953"/>
      <c r="L59" s="1953"/>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945" t="str">
        <f>CONCATENATE("PART III C  - HUD INSURED LOAN","  -  ",'Part I-Project Information'!$O$4," ",'Part I-Project Information'!$F$24,", ",'Part I-Project Information'!$F$28,", ",'Part I-Project Information'!$J$29," County")</f>
        <v>PART III C  - HUD INSURED LOAN  -  2016-524 Wheat Street Tower, Atlanta, Fulton County</v>
      </c>
      <c r="B1" s="1946"/>
      <c r="C1" s="1946"/>
      <c r="D1" s="1946"/>
      <c r="E1" s="1946"/>
      <c r="F1" s="1947"/>
      <c r="G1" s="176"/>
      <c r="H1" s="176"/>
      <c r="I1" s="176"/>
      <c r="J1" s="176"/>
      <c r="K1" s="176"/>
      <c r="L1" s="176"/>
      <c r="M1" s="176"/>
      <c r="N1" s="176"/>
      <c r="O1" s="176"/>
      <c r="P1" s="176"/>
      <c r="Q1" s="176"/>
    </row>
    <row r="2" spans="1:17">
      <c r="A2" s="14"/>
      <c r="B2" s="200"/>
      <c r="C2" s="200"/>
      <c r="D2" s="200"/>
    </row>
    <row r="3" spans="1:17" ht="15.6" customHeight="1">
      <c r="A3" s="1954" t="s">
        <v>224</v>
      </c>
      <c r="B3" s="1954"/>
      <c r="C3" s="1954"/>
      <c r="D3" s="1954"/>
      <c r="E3" s="1954"/>
      <c r="F3" s="1954"/>
      <c r="G3" s="245"/>
      <c r="H3" s="245"/>
    </row>
    <row r="4" spans="1:17">
      <c r="A4" s="14"/>
      <c r="B4" s="200"/>
      <c r="C4" s="200"/>
      <c r="D4" s="200"/>
    </row>
    <row r="5" spans="1:17" ht="13.15" customHeight="1">
      <c r="A5" s="28" t="s">
        <v>2335</v>
      </c>
      <c r="D5" s="240"/>
      <c r="E5" s="1957" t="s">
        <v>990</v>
      </c>
      <c r="F5" s="1958"/>
      <c r="G5" s="173"/>
    </row>
    <row r="6" spans="1:17">
      <c r="E6" s="1958"/>
      <c r="F6" s="1958"/>
      <c r="G6" s="173"/>
    </row>
    <row r="7" spans="1:17">
      <c r="A7" s="28" t="s">
        <v>2549</v>
      </c>
      <c r="C7" s="28" t="s">
        <v>2550</v>
      </c>
      <c r="D7" s="241"/>
      <c r="E7" s="1958"/>
      <c r="F7" s="1958"/>
      <c r="G7" s="173"/>
    </row>
    <row r="8" spans="1:17">
      <c r="C8" s="28" t="s">
        <v>2551</v>
      </c>
      <c r="D8" s="241"/>
      <c r="E8" s="1958"/>
      <c r="F8" s="1958"/>
      <c r="G8" s="173"/>
    </row>
    <row r="9" spans="1:17">
      <c r="C9" s="28" t="s">
        <v>2552</v>
      </c>
      <c r="D9" s="241"/>
      <c r="E9" s="1958"/>
      <c r="F9" s="1958"/>
      <c r="G9" s="173"/>
    </row>
    <row r="10" spans="1:17">
      <c r="C10" s="28" t="s">
        <v>2565</v>
      </c>
      <c r="D10" s="246">
        <f>D7+D8+D9</f>
        <v>0</v>
      </c>
      <c r="E10" s="1958"/>
      <c r="F10" s="1958"/>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955" t="s">
        <v>1783</v>
      </c>
      <c r="B24" s="1955"/>
      <c r="C24" s="1955"/>
      <c r="D24" s="1955"/>
      <c r="E24" s="1955"/>
      <c r="F24" s="1955"/>
      <c r="J24" s="249"/>
    </row>
    <row r="25" spans="1:10">
      <c r="C25" s="210"/>
      <c r="J25" s="249"/>
    </row>
    <row r="26" spans="1:10">
      <c r="A26" s="110"/>
      <c r="B26" s="85"/>
      <c r="C26" s="1959" t="s">
        <v>2334</v>
      </c>
      <c r="D26" s="244"/>
      <c r="E26" s="85"/>
      <c r="F26" s="1959" t="s">
        <v>2334</v>
      </c>
      <c r="J26" s="249"/>
    </row>
    <row r="27" spans="1:10">
      <c r="A27" s="250" t="s">
        <v>2566</v>
      </c>
      <c r="B27" s="76" t="s">
        <v>1063</v>
      </c>
      <c r="C27" s="1960"/>
      <c r="D27" s="251" t="s">
        <v>2566</v>
      </c>
      <c r="E27" s="76" t="s">
        <v>1063</v>
      </c>
      <c r="F27" s="1960"/>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952" t="str">
        <f>CONCATENATE('Part I-Project Information'!$O$4," ",'Part I-Project Information'!$F$24,", ",'Part I-Project Information'!$F$28,", ",'Part I-Project Information'!$J$29," County")</f>
        <v>2016-524 Wheat Street Tower, Atlanta, Fulton County</v>
      </c>
      <c r="B50" s="1952"/>
      <c r="C50" s="1952"/>
      <c r="D50" s="1952"/>
      <c r="E50" s="1952"/>
      <c r="F50" s="1952"/>
      <c r="G50" s="235"/>
      <c r="H50" s="235"/>
    </row>
    <row r="51" spans="1:10" ht="15">
      <c r="A51" s="1953" t="s">
        <v>2557</v>
      </c>
      <c r="B51" s="1953"/>
      <c r="C51" s="1953"/>
      <c r="D51" s="1953"/>
      <c r="E51" s="1953"/>
      <c r="F51" s="1953"/>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8" zoomScale="140" zoomScaleNormal="140" zoomScaleSheetLayoutView="90" workbookViewId="0">
      <selection activeCell="A8"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2000" t="str">
        <f>CONCATENATE("PART FOUR -  USES OF FUNDS","  -  ",'Part I-Project Information'!$O$4," ",'Part I-Project Information'!$F$24,", ",'Part I-Project Information'!F28,", ",'Part I-Project Information'!J29," County")</f>
        <v>PART FOUR -  USES OF FUNDS  -  2016-524 Wheat Street Tower, Atlanta, Fulton County</v>
      </c>
      <c r="B1" s="2001"/>
      <c r="C1" s="2001"/>
      <c r="D1" s="2001"/>
      <c r="E1" s="2001"/>
      <c r="F1" s="2001"/>
      <c r="G1" s="2001"/>
      <c r="H1" s="2001"/>
      <c r="I1" s="2001"/>
      <c r="J1" s="2001"/>
      <c r="K1" s="2001"/>
      <c r="L1" s="2001"/>
      <c r="M1" s="2001"/>
      <c r="N1" s="2001"/>
      <c r="O1" s="2001"/>
      <c r="P1" s="2001"/>
      <c r="Q1" s="2001"/>
      <c r="R1" s="2001"/>
      <c r="S1" s="2001"/>
      <c r="T1" s="2001"/>
      <c r="W1" s="1999" t="str">
        <f>A1</f>
        <v>PART FOUR -  USES OF FUNDS  -  2016-524 Wheat Street Tower, Atlanta, Fulton County</v>
      </c>
      <c r="X1" s="1999"/>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5"/>
      <c r="B4" s="545"/>
      <c r="C4" s="545"/>
      <c r="D4" s="559"/>
      <c r="E4" s="559"/>
      <c r="F4" s="559"/>
      <c r="G4" s="559"/>
      <c r="H4" s="559"/>
      <c r="I4" s="331"/>
      <c r="J4" s="545"/>
      <c r="K4" s="545"/>
      <c r="L4" s="545"/>
      <c r="M4" s="545"/>
      <c r="N4" s="545"/>
      <c r="O4" s="545"/>
      <c r="P4" s="545"/>
      <c r="Q4" s="545"/>
      <c r="R4" s="545"/>
      <c r="S4" s="545"/>
      <c r="T4" s="545"/>
    </row>
    <row r="5" spans="1:24" s="329" customFormat="1" ht="19.5" customHeight="1" thickBot="1">
      <c r="A5" s="474" t="s">
        <v>640</v>
      </c>
      <c r="B5" s="474" t="s">
        <v>933</v>
      </c>
      <c r="D5" s="1857" t="s">
        <v>4221</v>
      </c>
      <c r="E5" s="1858"/>
      <c r="F5" s="1859"/>
      <c r="G5" s="559"/>
      <c r="H5" s="559"/>
      <c r="I5" s="559"/>
      <c r="J5" s="1969" t="s">
        <v>283</v>
      </c>
      <c r="K5" s="1970"/>
      <c r="L5" s="384"/>
      <c r="M5" s="1988" t="s">
        <v>507</v>
      </c>
      <c r="N5" s="1989"/>
      <c r="P5" s="1969" t="s">
        <v>284</v>
      </c>
      <c r="Q5" s="1970"/>
      <c r="S5" s="1969" t="s">
        <v>285</v>
      </c>
      <c r="T5" s="1970"/>
      <c r="W5" s="475" t="str">
        <f>B5</f>
        <v>DEVELOPMENT BUDGET</v>
      </c>
    </row>
    <row r="6" spans="1:24" s="329" customFormat="1" ht="19.5" customHeight="1" thickBot="1">
      <c r="G6" s="1982" t="s">
        <v>103</v>
      </c>
      <c r="H6" s="1983"/>
      <c r="J6" s="1971"/>
      <c r="K6" s="1972"/>
      <c r="L6" s="384"/>
      <c r="M6" s="1990"/>
      <c r="N6" s="1991"/>
      <c r="P6" s="1971"/>
      <c r="Q6" s="1972"/>
      <c r="S6" s="1971"/>
      <c r="T6" s="1972"/>
      <c r="W6" s="1964" t="s">
        <v>2778</v>
      </c>
      <c r="X6" s="1964"/>
    </row>
    <row r="7" spans="1:24" s="329" customFormat="1" ht="12" customHeight="1">
      <c r="B7" s="331" t="s">
        <v>104</v>
      </c>
      <c r="O7" s="545" t="str">
        <f>B7</f>
        <v>PRE-DEVELOPMENT COSTS</v>
      </c>
      <c r="W7" s="329" t="str">
        <f>B7</f>
        <v>PRE-DEVELOPMENT COSTS</v>
      </c>
    </row>
    <row r="8" spans="1:24" s="329" customFormat="1" ht="12.6" customHeight="1">
      <c r="B8" s="329" t="s">
        <v>2076</v>
      </c>
      <c r="G8" s="2716"/>
      <c r="H8" s="2717"/>
      <c r="J8" s="2716"/>
      <c r="K8" s="2717"/>
      <c r="L8" s="1800"/>
      <c r="M8" s="2716"/>
      <c r="N8" s="2717"/>
      <c r="P8" s="2716"/>
      <c r="Q8" s="2717"/>
      <c r="S8" s="2716"/>
      <c r="T8" s="2717"/>
      <c r="V8" s="2718"/>
      <c r="W8" s="2719"/>
      <c r="X8" s="2720"/>
    </row>
    <row r="9" spans="1:24" s="329" customFormat="1" ht="12.6" customHeight="1">
      <c r="B9" s="329" t="s">
        <v>474</v>
      </c>
      <c r="G9" s="2716">
        <v>5000</v>
      </c>
      <c r="H9" s="2717"/>
      <c r="J9" s="2716"/>
      <c r="K9" s="2717"/>
      <c r="L9" s="1800"/>
      <c r="M9" s="2716"/>
      <c r="N9" s="2717"/>
      <c r="P9" s="2716">
        <v>5000</v>
      </c>
      <c r="Q9" s="2717"/>
      <c r="S9" s="2716"/>
      <c r="T9" s="2717"/>
      <c r="V9" s="2718"/>
      <c r="W9" s="2721"/>
      <c r="X9" s="2722"/>
    </row>
    <row r="10" spans="1:24" s="329" customFormat="1" ht="12.6" customHeight="1">
      <c r="B10" s="329" t="s">
        <v>504</v>
      </c>
      <c r="G10" s="2716">
        <v>7200</v>
      </c>
      <c r="H10" s="2717"/>
      <c r="J10" s="2716"/>
      <c r="K10" s="2717"/>
      <c r="L10" s="1800"/>
      <c r="M10" s="2716"/>
      <c r="N10" s="2717"/>
      <c r="P10" s="2716">
        <v>7200</v>
      </c>
      <c r="Q10" s="2717"/>
      <c r="S10" s="2716"/>
      <c r="T10" s="2717"/>
      <c r="V10" s="2718"/>
      <c r="W10" s="2721"/>
      <c r="X10" s="2722"/>
    </row>
    <row r="11" spans="1:24" s="329" customFormat="1" ht="12.6" customHeight="1">
      <c r="B11" s="329" t="s">
        <v>505</v>
      </c>
      <c r="G11" s="2716">
        <v>15000</v>
      </c>
      <c r="H11" s="2717"/>
      <c r="J11" s="2716"/>
      <c r="K11" s="2717"/>
      <c r="L11" s="1800"/>
      <c r="M11" s="2716"/>
      <c r="N11" s="2717"/>
      <c r="P11" s="2716">
        <v>15000</v>
      </c>
      <c r="Q11" s="2717"/>
      <c r="S11" s="2716"/>
      <c r="T11" s="2717"/>
      <c r="V11" s="2718"/>
      <c r="W11" s="2721"/>
      <c r="X11" s="2722"/>
    </row>
    <row r="12" spans="1:24" s="329" customFormat="1" ht="12.6" customHeight="1">
      <c r="B12" s="329" t="s">
        <v>2586</v>
      </c>
      <c r="G12" s="2716">
        <v>10500</v>
      </c>
      <c r="H12" s="2717"/>
      <c r="J12" s="2716"/>
      <c r="K12" s="2717"/>
      <c r="L12" s="1800"/>
      <c r="M12" s="2716"/>
      <c r="N12" s="2717"/>
      <c r="P12" s="2716">
        <f>G12*0.8</f>
        <v>8400</v>
      </c>
      <c r="Q12" s="2717"/>
      <c r="S12" s="2716">
        <f>G12-P12</f>
        <v>2100</v>
      </c>
      <c r="T12" s="2717"/>
      <c r="V12" s="2718"/>
      <c r="W12" s="2721"/>
      <c r="X12" s="2722"/>
    </row>
    <row r="13" spans="1:24" s="329" customFormat="1" ht="12.6" customHeight="1">
      <c r="B13" s="329" t="s">
        <v>196</v>
      </c>
      <c r="G13" s="2716"/>
      <c r="H13" s="2717"/>
      <c r="J13" s="2716"/>
      <c r="K13" s="2717"/>
      <c r="L13" s="1800"/>
      <c r="M13" s="2716"/>
      <c r="N13" s="2717"/>
      <c r="P13" s="2716"/>
      <c r="Q13" s="2717"/>
      <c r="S13" s="2716"/>
      <c r="T13" s="2717"/>
      <c r="V13" s="2718"/>
      <c r="W13" s="2721"/>
      <c r="X13" s="2722"/>
    </row>
    <row r="14" spans="1:24" s="329" customFormat="1" ht="12.6" customHeight="1">
      <c r="A14" s="412" t="str">
        <f>IF(AND(G14&gt;0,OR(C14="",C14="&lt;Enter detailed description here; use Comments section if needed&gt;")),"X","")</f>
        <v/>
      </c>
      <c r="B14" s="329" t="s">
        <v>771</v>
      </c>
      <c r="C14" s="2480" t="s">
        <v>4289</v>
      </c>
      <c r="D14" s="2480"/>
      <c r="E14" s="2480"/>
      <c r="F14" s="2481"/>
      <c r="G14" s="2716">
        <v>3000</v>
      </c>
      <c r="H14" s="2717"/>
      <c r="J14" s="2716"/>
      <c r="K14" s="2717"/>
      <c r="L14" s="1800"/>
      <c r="M14" s="2716"/>
      <c r="N14" s="2717"/>
      <c r="P14" s="2716">
        <v>3000</v>
      </c>
      <c r="Q14" s="2717"/>
      <c r="S14" s="2716"/>
      <c r="T14" s="2717"/>
      <c r="U14" s="411" t="str">
        <f>IF(AND(G14&gt;0,OR(C14="",C14="&lt;Enter detailed description here; use Comments section if needed&gt;")),"NO DESCRIPTION PROVIDED - please enter detailed description in Other box at left; use Comments section below if needed.","")</f>
        <v/>
      </c>
      <c r="V14" s="2723"/>
      <c r="W14" s="2721"/>
      <c r="X14" s="2722"/>
    </row>
    <row r="15" spans="1:24" s="329" customFormat="1" ht="12.6" customHeight="1">
      <c r="A15" s="412" t="str">
        <f>IF(AND(G15&gt;0,OR(C15="",C15="&lt;Enter detailed description here; use Comments section if needed&gt;")),"X","")</f>
        <v/>
      </c>
      <c r="B15" s="329" t="s">
        <v>771</v>
      </c>
      <c r="C15" s="2480" t="s">
        <v>4290</v>
      </c>
      <c r="D15" s="2480"/>
      <c r="E15" s="2480"/>
      <c r="F15" s="2481"/>
      <c r="G15" s="2716">
        <v>4850</v>
      </c>
      <c r="H15" s="2717"/>
      <c r="J15" s="2716"/>
      <c r="K15" s="2717"/>
      <c r="L15" s="1800"/>
      <c r="M15" s="2716"/>
      <c r="N15" s="2717"/>
      <c r="P15" s="2716">
        <v>4850</v>
      </c>
      <c r="Q15" s="2717"/>
      <c r="S15" s="2716"/>
      <c r="T15" s="2717"/>
      <c r="U15" s="411" t="str">
        <f>IF(AND(G15&gt;0,OR(C15="",C15="&lt;Enter detailed description here; use Comments section if needed&gt;")),"NO DESCRIPTION PROVIDED - please enter detailed description in Other box at left; use Comments section below if needed.","")</f>
        <v/>
      </c>
      <c r="V15" s="2723"/>
      <c r="W15" s="2721"/>
      <c r="X15" s="2722"/>
    </row>
    <row r="16" spans="1:24" s="329" customFormat="1" ht="12.6" customHeight="1" thickBot="1">
      <c r="A16" s="412" t="str">
        <f>IF(AND(G16&gt;0,OR(C16="",C16="&lt;Enter detailed description here; use Comments section if needed&gt;")),"X","")</f>
        <v/>
      </c>
      <c r="B16" s="329" t="s">
        <v>771</v>
      </c>
      <c r="C16" s="2480" t="s">
        <v>4199</v>
      </c>
      <c r="D16" s="2480"/>
      <c r="E16" s="2480"/>
      <c r="F16" s="2481"/>
      <c r="G16" s="2716"/>
      <c r="H16" s="2717"/>
      <c r="J16" s="2724"/>
      <c r="K16" s="2725"/>
      <c r="L16" s="1800"/>
      <c r="M16" s="2716"/>
      <c r="N16" s="2717"/>
      <c r="P16" s="2716"/>
      <c r="Q16" s="2717"/>
      <c r="S16" s="2724"/>
      <c r="T16" s="2725"/>
      <c r="U16" s="411" t="str">
        <f>IF(AND(G16&gt;0,OR(C16="",C16="&lt;Enter detailed description here; use Comments section if needed&gt;")),"NO DESCRIPTION PROVIDED - please enter detailed description in Other box at left; use Comments section below if needed.","")</f>
        <v/>
      </c>
      <c r="V16" s="2723"/>
      <c r="W16" s="2721"/>
      <c r="X16" s="2722"/>
    </row>
    <row r="17" spans="2:24" s="329" customFormat="1" ht="12.6" customHeight="1" thickTop="1">
      <c r="F17" s="385" t="s">
        <v>197</v>
      </c>
      <c r="G17" s="1961">
        <f>SUM(G8:H16)</f>
        <v>45550</v>
      </c>
      <c r="H17" s="1965"/>
      <c r="J17" s="1961">
        <f>SUM(J8:K16)</f>
        <v>0</v>
      </c>
      <c r="K17" s="1962"/>
      <c r="L17" s="1800"/>
      <c r="M17" s="1961">
        <f>SUM(M8:N16)</f>
        <v>0</v>
      </c>
      <c r="N17" s="1965"/>
      <c r="P17" s="1961">
        <f>SUM(P8:Q16)</f>
        <v>43450</v>
      </c>
      <c r="Q17" s="1965"/>
      <c r="S17" s="1961">
        <f>SUM(S8:T16)</f>
        <v>2100</v>
      </c>
      <c r="T17" s="1965"/>
      <c r="V17" s="2726">
        <f>SUM(V8:V16)</f>
        <v>0</v>
      </c>
      <c r="W17" s="2727"/>
      <c r="X17" s="2728"/>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716">
        <v>200000</v>
      </c>
      <c r="H19" s="2717"/>
      <c r="J19" s="387"/>
      <c r="K19" s="384"/>
      <c r="L19" s="387"/>
      <c r="M19" s="387"/>
      <c r="N19" s="384"/>
      <c r="P19" s="387"/>
      <c r="Q19" s="384"/>
      <c r="S19" s="2716">
        <v>200000</v>
      </c>
      <c r="T19" s="2717"/>
      <c r="V19" s="2718"/>
      <c r="W19" s="2719"/>
      <c r="X19" s="2720"/>
    </row>
    <row r="20" spans="2:24" s="329" customFormat="1" ht="12.6" customHeight="1">
      <c r="B20" s="329" t="s">
        <v>1157</v>
      </c>
      <c r="G20" s="2716"/>
      <c r="H20" s="2717"/>
      <c r="J20" s="387"/>
      <c r="K20" s="384"/>
      <c r="L20" s="387"/>
      <c r="M20" s="387"/>
      <c r="N20" s="384"/>
      <c r="P20" s="387"/>
      <c r="Q20" s="384"/>
      <c r="S20" s="2716"/>
      <c r="T20" s="2717"/>
      <c r="V20" s="2718"/>
      <c r="W20" s="2721"/>
      <c r="X20" s="2722"/>
    </row>
    <row r="21" spans="2:24" s="329" customFormat="1" ht="12.6" customHeight="1">
      <c r="B21" s="329" t="s">
        <v>475</v>
      </c>
      <c r="G21" s="2716"/>
      <c r="H21" s="2717"/>
      <c r="J21" s="387"/>
      <c r="K21" s="384"/>
      <c r="L21" s="387"/>
      <c r="M21" s="2716"/>
      <c r="N21" s="2717"/>
      <c r="P21" s="387"/>
      <c r="Q21" s="384"/>
      <c r="S21" s="2716"/>
      <c r="T21" s="2717"/>
      <c r="V21" s="2718"/>
      <c r="W21" s="2721"/>
      <c r="X21" s="2722"/>
    </row>
    <row r="22" spans="2:24" s="329" customFormat="1" ht="12.6" customHeight="1" thickBot="1">
      <c r="B22" s="329" t="s">
        <v>445</v>
      </c>
      <c r="G22" s="2729">
        <v>1300000</v>
      </c>
      <c r="H22" s="2730"/>
      <c r="J22" s="387"/>
      <c r="K22" s="384"/>
      <c r="L22" s="387"/>
      <c r="M22" s="2729">
        <v>1300000</v>
      </c>
      <c r="N22" s="2730"/>
      <c r="P22" s="387"/>
      <c r="Q22" s="384"/>
      <c r="S22" s="2716"/>
      <c r="T22" s="2717"/>
      <c r="V22" s="2718"/>
      <c r="W22" s="2721"/>
      <c r="X22" s="2722"/>
    </row>
    <row r="23" spans="2:24" s="329" customFormat="1" ht="12.6" customHeight="1" thickTop="1">
      <c r="F23" s="385" t="s">
        <v>197</v>
      </c>
      <c r="G23" s="1961">
        <f>SUM(G19:H22)</f>
        <v>1500000</v>
      </c>
      <c r="H23" s="1965"/>
      <c r="J23" s="387"/>
      <c r="K23" s="384"/>
      <c r="L23" s="387"/>
      <c r="M23" s="1961">
        <f>SUM(M21:N22)</f>
        <v>1300000</v>
      </c>
      <c r="N23" s="1965"/>
      <c r="P23" s="387"/>
      <c r="Q23" s="384"/>
      <c r="S23" s="1961">
        <f>SUM(S19:T22)</f>
        <v>200000</v>
      </c>
      <c r="T23" s="1965"/>
      <c r="V23" s="2726">
        <f>SUM(V19:V22)</f>
        <v>0</v>
      </c>
      <c r="W23" s="2727"/>
      <c r="X23" s="2728"/>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716">
        <v>443733</v>
      </c>
      <c r="H25" s="2717"/>
      <c r="J25" s="2724"/>
      <c r="K25" s="2725"/>
      <c r="L25" s="1800"/>
      <c r="M25" s="2724"/>
      <c r="N25" s="2725"/>
      <c r="P25" s="2724">
        <f>G25*0.6</f>
        <v>266239.8</v>
      </c>
      <c r="Q25" s="2725"/>
      <c r="S25" s="2716">
        <f>G25-P25</f>
        <v>177493.2</v>
      </c>
      <c r="T25" s="2717"/>
      <c r="V25" s="2718"/>
      <c r="W25" s="2719"/>
      <c r="X25" s="2720"/>
    </row>
    <row r="26" spans="2:24" s="329" customFormat="1" ht="12.6" customHeight="1" thickBot="1">
      <c r="B26" s="329" t="s">
        <v>1160</v>
      </c>
      <c r="G26" s="2716"/>
      <c r="H26" s="2717"/>
      <c r="J26" s="2724"/>
      <c r="K26" s="2725"/>
      <c r="L26" s="388"/>
      <c r="M26" s="1963"/>
      <c r="N26" s="1963"/>
      <c r="P26" s="1963"/>
      <c r="Q26" s="1963"/>
      <c r="S26" s="2716"/>
      <c r="T26" s="2717"/>
      <c r="V26" s="2718"/>
      <c r="W26" s="2721"/>
      <c r="X26" s="2722"/>
    </row>
    <row r="27" spans="2:24" s="329" customFormat="1" ht="12.6" customHeight="1" thickTop="1">
      <c r="F27" s="385" t="s">
        <v>197</v>
      </c>
      <c r="G27" s="1961">
        <f>SUM(G25:H26)</f>
        <v>443733</v>
      </c>
      <c r="H27" s="1965"/>
      <c r="J27" s="1961">
        <f>SUM(J25:K26)</f>
        <v>0</v>
      </c>
      <c r="K27" s="1965"/>
      <c r="L27" s="387"/>
      <c r="M27" s="1961">
        <f>M25</f>
        <v>0</v>
      </c>
      <c r="N27" s="1965"/>
      <c r="P27" s="1961">
        <f>P25</f>
        <v>266239.8</v>
      </c>
      <c r="Q27" s="1965"/>
      <c r="S27" s="1961">
        <f>SUM(S25:T26)</f>
        <v>177493.2</v>
      </c>
      <c r="T27" s="1965"/>
      <c r="V27" s="2726">
        <f>SUM(V25:V26)</f>
        <v>0</v>
      </c>
      <c r="W27" s="2727"/>
      <c r="X27" s="2728"/>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716"/>
      <c r="H29" s="2717"/>
      <c r="J29" s="2716"/>
      <c r="K29" s="2717"/>
      <c r="L29" s="1800"/>
      <c r="M29" s="2716"/>
      <c r="N29" s="2717"/>
      <c r="P29" s="2716"/>
      <c r="Q29" s="2717"/>
      <c r="S29" s="2716"/>
      <c r="T29" s="2717"/>
      <c r="V29" s="2718"/>
      <c r="W29" s="2719"/>
      <c r="X29" s="2720"/>
    </row>
    <row r="30" spans="2:24" s="329" customFormat="1" ht="12.6" customHeight="1">
      <c r="B30" s="329" t="s">
        <v>1163</v>
      </c>
      <c r="G30" s="2716">
        <f>13291981</f>
        <v>13291981</v>
      </c>
      <c r="H30" s="2717"/>
      <c r="J30" s="2716"/>
      <c r="K30" s="2717"/>
      <c r="L30" s="1800"/>
      <c r="M30" s="2716"/>
      <c r="N30" s="2717"/>
      <c r="P30" s="2716">
        <f>G30</f>
        <v>13291981</v>
      </c>
      <c r="Q30" s="2717"/>
      <c r="S30" s="2716"/>
      <c r="T30" s="2717"/>
      <c r="V30" s="2718"/>
      <c r="W30" s="2721"/>
      <c r="X30" s="2722"/>
    </row>
    <row r="31" spans="2:24" s="329" customFormat="1" ht="12.6" customHeight="1">
      <c r="B31" s="329" t="s">
        <v>2898</v>
      </c>
      <c r="G31" s="2716"/>
      <c r="H31" s="2717"/>
      <c r="J31" s="2716"/>
      <c r="K31" s="2717"/>
      <c r="L31" s="1800"/>
      <c r="M31" s="2716"/>
      <c r="N31" s="2717"/>
      <c r="P31" s="2716"/>
      <c r="Q31" s="2717"/>
      <c r="S31" s="2716"/>
      <c r="T31" s="2717"/>
      <c r="V31" s="2718"/>
      <c r="W31" s="2721"/>
      <c r="X31" s="2722"/>
    </row>
    <row r="32" spans="2:24" ht="12.6" customHeight="1" thickBot="1">
      <c r="B32" s="329" t="s">
        <v>2897</v>
      </c>
      <c r="G32" s="2716"/>
      <c r="H32" s="2717"/>
      <c r="I32" s="329"/>
      <c r="J32" s="2716"/>
      <c r="K32" s="2717"/>
      <c r="L32" s="1800"/>
      <c r="M32" s="2716"/>
      <c r="N32" s="2717"/>
      <c r="O32" s="329"/>
      <c r="P32" s="2716"/>
      <c r="Q32" s="2717"/>
      <c r="R32" s="329"/>
      <c r="S32" s="2716"/>
      <c r="T32" s="2717"/>
      <c r="V32" s="2718"/>
      <c r="W32" s="2721"/>
      <c r="X32" s="2722"/>
    </row>
    <row r="33" spans="1:24" s="329" customFormat="1" ht="12.6" customHeight="1" thickTop="1">
      <c r="C33" s="2037"/>
      <c r="D33" s="2037"/>
      <c r="E33" s="1801"/>
      <c r="F33" s="385" t="s">
        <v>197</v>
      </c>
      <c r="G33" s="1961">
        <f>SUM(G29:H32)</f>
        <v>13291981</v>
      </c>
      <c r="H33" s="1965"/>
      <c r="J33" s="1961">
        <f>SUM(J29:K32)</f>
        <v>0</v>
      </c>
      <c r="K33" s="1965"/>
      <c r="L33" s="1800"/>
      <c r="M33" s="1961">
        <f>SUM(M29:N32)</f>
        <v>0</v>
      </c>
      <c r="N33" s="1965"/>
      <c r="P33" s="1961">
        <f>SUM(P29:Q32)</f>
        <v>13291981</v>
      </c>
      <c r="Q33" s="1965"/>
      <c r="S33" s="1961">
        <f>SUM(S29:T32)</f>
        <v>0</v>
      </c>
      <c r="T33" s="1965"/>
      <c r="V33" s="2726">
        <f>SUM(V29:V32)</f>
        <v>0</v>
      </c>
      <c r="W33" s="2727"/>
      <c r="X33" s="2728"/>
    </row>
    <row r="34" spans="1:24" s="329" customFormat="1" ht="12" customHeight="1">
      <c r="B34" s="331" t="s">
        <v>2424</v>
      </c>
      <c r="E34" s="560">
        <f>SUM(E35:E37)</f>
        <v>0.14000000000000001</v>
      </c>
      <c r="F34" s="1793"/>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824142.84</v>
      </c>
      <c r="G35" s="2716">
        <v>686786</v>
      </c>
      <c r="H35" s="2717"/>
      <c r="I35" s="348"/>
      <c r="J35" s="2716"/>
      <c r="K35" s="2717"/>
      <c r="L35" s="1800"/>
      <c r="M35" s="2716"/>
      <c r="N35" s="2717"/>
      <c r="P35" s="2716">
        <f>G35</f>
        <v>686786</v>
      </c>
      <c r="Q35" s="2717"/>
      <c r="S35" s="2716"/>
      <c r="T35" s="2717"/>
      <c r="V35" s="2718"/>
      <c r="W35" s="2719"/>
      <c r="X35" s="2720"/>
    </row>
    <row r="36" spans="1:24" s="329" customFormat="1" ht="12.6" customHeight="1">
      <c r="B36" s="329" t="s">
        <v>2851</v>
      </c>
      <c r="E36" s="443">
        <f>'DCA Underwriting Assumptions'!$R$81</f>
        <v>0.02</v>
      </c>
      <c r="F36" s="444">
        <f>E36*(G27+G33)</f>
        <v>274714.28000000003</v>
      </c>
      <c r="G36" s="2716">
        <f>F36</f>
        <v>274714.28000000003</v>
      </c>
      <c r="H36" s="2717"/>
      <c r="I36" s="348"/>
      <c r="J36" s="2716"/>
      <c r="K36" s="2717"/>
      <c r="L36" s="1800"/>
      <c r="M36" s="2716"/>
      <c r="N36" s="2717"/>
      <c r="P36" s="2716">
        <v>274714</v>
      </c>
      <c r="Q36" s="2717"/>
      <c r="S36" s="2716"/>
      <c r="T36" s="2717"/>
      <c r="V36" s="2718"/>
      <c r="W36" s="2721"/>
      <c r="X36" s="2722"/>
    </row>
    <row r="37" spans="1:24" s="329" customFormat="1" ht="12.6" customHeight="1" thickBot="1">
      <c r="B37" s="329" t="s">
        <v>2852</v>
      </c>
      <c r="E37" s="443">
        <f>'DCA Underwriting Assumptions'!$R$82</f>
        <v>0.06</v>
      </c>
      <c r="F37" s="444">
        <f>E37*(G27+G33)</f>
        <v>824142.84</v>
      </c>
      <c r="G37" s="2716">
        <v>708143</v>
      </c>
      <c r="H37" s="2717"/>
      <c r="I37" s="348"/>
      <c r="J37" s="2716"/>
      <c r="K37" s="2717"/>
      <c r="L37" s="1800"/>
      <c r="M37" s="2716"/>
      <c r="N37" s="2717"/>
      <c r="P37" s="2716">
        <f>G37</f>
        <v>708143</v>
      </c>
      <c r="Q37" s="2717"/>
      <c r="S37" s="2716"/>
      <c r="T37" s="2717"/>
      <c r="V37" s="2718"/>
      <c r="W37" s="2721"/>
      <c r="X37" s="2722"/>
    </row>
    <row r="38" spans="1:24" s="329" customFormat="1" ht="12.6" customHeight="1" thickTop="1">
      <c r="B38" s="329" t="s">
        <v>2117</v>
      </c>
      <c r="D38" s="392"/>
      <c r="E38" s="1793"/>
      <c r="F38" s="445" t="s">
        <v>197</v>
      </c>
      <c r="G38" s="1961">
        <f>SUM(G35:H37)</f>
        <v>1669643.28</v>
      </c>
      <c r="H38" s="1965"/>
      <c r="J38" s="1961">
        <f>SUM(J35:K37)</f>
        <v>0</v>
      </c>
      <c r="K38" s="1965"/>
      <c r="L38" s="387"/>
      <c r="M38" s="1961">
        <f>SUM(M35:N37)</f>
        <v>0</v>
      </c>
      <c r="N38" s="1965"/>
      <c r="P38" s="1961">
        <f>SUM(P35:Q37)</f>
        <v>1669643</v>
      </c>
      <c r="Q38" s="1965"/>
      <c r="S38" s="1961">
        <f>SUM(S35:T37)</f>
        <v>0</v>
      </c>
      <c r="T38" s="1965"/>
      <c r="V38" s="2726">
        <f>SUM(V35:V37)</f>
        <v>0</v>
      </c>
      <c r="W38" s="2727"/>
      <c r="X38" s="2728"/>
    </row>
    <row r="39" spans="1:24" s="329" customFormat="1" ht="3" customHeight="1">
      <c r="A39" s="545"/>
      <c r="B39" s="545"/>
      <c r="C39" s="545"/>
      <c r="D39" s="545"/>
      <c r="E39" s="545"/>
      <c r="F39" s="545"/>
      <c r="G39" s="545"/>
      <c r="H39" s="545"/>
      <c r="I39" s="545"/>
      <c r="J39" s="545"/>
      <c r="K39" s="545"/>
      <c r="L39" s="545"/>
      <c r="M39" s="545"/>
      <c r="N39" s="545"/>
      <c r="O39" s="545"/>
      <c r="P39" s="545"/>
      <c r="Q39" s="545"/>
      <c r="R39" s="545"/>
      <c r="S39" s="545"/>
      <c r="T39" s="545"/>
    </row>
    <row r="40" spans="1:24" s="329" customFormat="1" ht="12" customHeight="1">
      <c r="B40" s="331" t="s">
        <v>2856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480" t="s">
        <v>4333</v>
      </c>
      <c r="D41" s="2731"/>
      <c r="E41" s="2731"/>
      <c r="F41" s="2732"/>
      <c r="G41" s="2716">
        <v>116000</v>
      </c>
      <c r="H41" s="2717"/>
      <c r="I41" s="329"/>
      <c r="J41" s="2716"/>
      <c r="K41" s="2717"/>
      <c r="L41" s="1800"/>
      <c r="M41" s="2716"/>
      <c r="N41" s="2717"/>
      <c r="O41" s="329"/>
      <c r="P41" s="2716">
        <v>116000</v>
      </c>
      <c r="Q41" s="2717"/>
      <c r="R41" s="329"/>
      <c r="S41" s="2716"/>
      <c r="T41" s="2717"/>
      <c r="V41" s="2718"/>
      <c r="W41" s="2719"/>
      <c r="X41" s="2720"/>
    </row>
    <row r="42" spans="1:24" s="329" customFormat="1" ht="6" customHeight="1">
      <c r="A42" s="545"/>
      <c r="B42" s="545"/>
      <c r="C42" s="545"/>
      <c r="D42" s="1174"/>
      <c r="E42" s="1174"/>
      <c r="F42" s="1174"/>
      <c r="G42" s="545"/>
      <c r="H42" s="545"/>
      <c r="I42" s="545"/>
      <c r="J42" s="545"/>
      <c r="K42" s="545"/>
      <c r="L42" s="545"/>
      <c r="M42" s="545"/>
      <c r="N42" s="545"/>
      <c r="O42" s="545"/>
      <c r="P42" s="545"/>
      <c r="Q42" s="545"/>
      <c r="R42" s="545"/>
      <c r="S42" s="545"/>
      <c r="T42" s="545"/>
      <c r="W42" s="2721"/>
      <c r="X42" s="2722"/>
    </row>
    <row r="43" spans="1:24" s="329" customFormat="1" ht="12.6" customHeight="1">
      <c r="B43" s="586" t="s">
        <v>2861</v>
      </c>
      <c r="C43" s="587"/>
      <c r="E43" s="1992" t="s">
        <v>2860</v>
      </c>
      <c r="F43" s="1803">
        <f>B44/'Part VI-Revenues &amp; Expenses'!$O$60</f>
        <v>74621.91</v>
      </c>
      <c r="G43" s="584" t="s">
        <v>2889</v>
      </c>
      <c r="H43" s="546"/>
      <c r="I43" s="546"/>
      <c r="J43" s="1995">
        <f>B44/'Part VI-Revenues &amp; Expenses'!$O$62</f>
        <v>74621.91</v>
      </c>
      <c r="K43" s="1995"/>
      <c r="L43" s="546"/>
      <c r="M43" s="1997" t="s">
        <v>1454</v>
      </c>
      <c r="N43" s="1997"/>
      <c r="O43" s="546"/>
      <c r="P43" s="1995">
        <f>B44/'Part I-Project Information'!$P$60</f>
        <v>104.58712774416128</v>
      </c>
      <c r="Q43" s="1995"/>
      <c r="R43" s="546"/>
      <c r="S43" s="1966" t="s">
        <v>2896</v>
      </c>
      <c r="T43" s="1967"/>
      <c r="W43" s="2721"/>
      <c r="X43" s="2722"/>
    </row>
    <row r="44" spans="1:24" s="329" customFormat="1" ht="12.6" customHeight="1">
      <c r="B44" s="1984">
        <f>G27+G33+G38+G41</f>
        <v>15521357.279999999</v>
      </c>
      <c r="C44" s="1985"/>
      <c r="E44" s="1993"/>
      <c r="F44" s="1804">
        <f>B44/'Part VI-Revenues &amp; Expenses'!$O$117</f>
        <v>139.38751441349211</v>
      </c>
      <c r="G44" s="585" t="s">
        <v>2890</v>
      </c>
      <c r="H44" s="1796"/>
      <c r="I44" s="1796"/>
      <c r="J44" s="1996">
        <f>B44/'Part VI-Revenues &amp; Expenses'!$O$119</f>
        <v>139.38751441349211</v>
      </c>
      <c r="K44" s="1996"/>
      <c r="L44" s="1796"/>
      <c r="M44" s="1998" t="s">
        <v>2895</v>
      </c>
      <c r="N44" s="1998"/>
      <c r="O44" s="1796"/>
      <c r="P44" s="1796"/>
      <c r="Q44" s="1796"/>
      <c r="R44" s="1796"/>
      <c r="S44" s="1796"/>
      <c r="T44" s="377"/>
      <c r="W44" s="2727"/>
      <c r="X44" s="2728"/>
    </row>
    <row r="45" spans="1:24" s="329" customFormat="1" ht="3" customHeight="1">
      <c r="A45" s="545"/>
      <c r="B45" s="545"/>
      <c r="C45" s="545"/>
      <c r="D45" s="545"/>
      <c r="E45" s="545"/>
      <c r="F45" s="545"/>
      <c r="G45" s="545"/>
      <c r="H45" s="545"/>
      <c r="I45" s="545"/>
      <c r="J45" s="545"/>
      <c r="K45" s="545"/>
      <c r="L45" s="545"/>
      <c r="M45" s="545"/>
      <c r="N45" s="545"/>
      <c r="O45" s="545"/>
      <c r="P45" s="545"/>
      <c r="Q45" s="545"/>
      <c r="R45" s="545"/>
      <c r="S45" s="545"/>
      <c r="T45" s="545"/>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99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994"/>
      <c r="F47" s="389">
        <f>G47/B44</f>
        <v>3.2213677643016025E-2</v>
      </c>
      <c r="G47" s="2716">
        <v>500000</v>
      </c>
      <c r="H47" s="2717"/>
      <c r="I47" s="329"/>
      <c r="J47" s="2716"/>
      <c r="K47" s="2717"/>
      <c r="L47" s="1800"/>
      <c r="M47" s="2716"/>
      <c r="N47" s="2717"/>
      <c r="O47" s="329"/>
      <c r="P47" s="2716">
        <v>500000</v>
      </c>
      <c r="Q47" s="2717"/>
      <c r="R47" s="329"/>
      <c r="S47" s="2716"/>
      <c r="T47" s="2717"/>
      <c r="V47" s="2718"/>
      <c r="W47" s="2733"/>
      <c r="X47" s="2734"/>
    </row>
    <row r="48" spans="1:24" s="329" customFormat="1" ht="3" customHeight="1">
      <c r="A48" s="545"/>
      <c r="B48" s="545"/>
      <c r="C48" s="545"/>
      <c r="D48" s="545"/>
      <c r="E48" s="545"/>
      <c r="F48" s="545"/>
      <c r="G48" s="545"/>
      <c r="H48" s="545"/>
      <c r="I48" s="545"/>
      <c r="J48" s="545"/>
      <c r="K48" s="545"/>
      <c r="L48" s="545"/>
      <c r="M48" s="545"/>
      <c r="N48" s="545"/>
      <c r="O48" s="545"/>
      <c r="P48" s="545"/>
      <c r="Q48" s="545"/>
      <c r="R48" s="545"/>
      <c r="S48" s="545"/>
      <c r="T48" s="545"/>
    </row>
    <row r="49" spans="1:24" s="329" customFormat="1" ht="3" customHeight="1" thickBot="1">
      <c r="A49" s="545"/>
      <c r="B49" s="545"/>
      <c r="C49" s="545"/>
      <c r="D49" s="545"/>
      <c r="E49" s="545"/>
      <c r="F49" s="545"/>
      <c r="G49" s="545"/>
      <c r="H49" s="545"/>
      <c r="I49" s="545"/>
      <c r="J49" s="545"/>
      <c r="K49" s="545"/>
      <c r="L49" s="545"/>
      <c r="M49" s="545"/>
      <c r="N49" s="545"/>
      <c r="O49" s="545"/>
      <c r="P49" s="545"/>
      <c r="Q49" s="545"/>
      <c r="R49" s="545"/>
      <c r="S49" s="545"/>
      <c r="T49" s="545"/>
    </row>
    <row r="50" spans="1:24" s="329" customFormat="1" ht="18.75" customHeight="1" thickBot="1">
      <c r="A50" s="474" t="s">
        <v>640</v>
      </c>
      <c r="B50" s="474" t="s">
        <v>2983</v>
      </c>
      <c r="H50" s="1793"/>
      <c r="I50" s="1793"/>
      <c r="J50" s="1969" t="s">
        <v>283</v>
      </c>
      <c r="K50" s="1970"/>
      <c r="L50" s="384"/>
      <c r="M50" s="1988" t="s">
        <v>507</v>
      </c>
      <c r="N50" s="1989"/>
      <c r="P50" s="1969" t="s">
        <v>284</v>
      </c>
      <c r="Q50" s="1970"/>
      <c r="S50" s="1969" t="s">
        <v>285</v>
      </c>
      <c r="T50" s="1970"/>
      <c r="W50" s="475" t="str">
        <f>B50</f>
        <v>DEVELOPMENT BUDGET (cont'd)</v>
      </c>
    </row>
    <row r="51" spans="1:24" s="329" customFormat="1" ht="18.75" customHeight="1" thickBot="1">
      <c r="G51" s="1982" t="s">
        <v>103</v>
      </c>
      <c r="H51" s="1983"/>
      <c r="J51" s="1971"/>
      <c r="K51" s="1972"/>
      <c r="L51" s="384"/>
      <c r="M51" s="1990"/>
      <c r="N51" s="1991"/>
      <c r="P51" s="1971"/>
      <c r="Q51" s="1972"/>
      <c r="S51" s="1971"/>
      <c r="T51" s="1972"/>
      <c r="W51" s="1964" t="s">
        <v>2778</v>
      </c>
      <c r="X51" s="1964"/>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716"/>
      <c r="H53" s="2717"/>
      <c r="J53" s="2716"/>
      <c r="K53" s="2717"/>
      <c r="L53" s="1800"/>
      <c r="M53" s="2716"/>
      <c r="N53" s="2717"/>
      <c r="P53" s="2716"/>
      <c r="Q53" s="2717"/>
      <c r="S53" s="2716"/>
      <c r="T53" s="2717"/>
      <c r="V53" s="2735"/>
      <c r="W53" s="2736"/>
      <c r="X53" s="2737"/>
    </row>
    <row r="54" spans="1:24" s="329" customFormat="1" ht="12" customHeight="1">
      <c r="B54" s="329" t="s">
        <v>2427</v>
      </c>
      <c r="G54" s="2716">
        <v>208750</v>
      </c>
      <c r="H54" s="2717"/>
      <c r="J54" s="2716"/>
      <c r="K54" s="2717"/>
      <c r="L54" s="1800"/>
      <c r="M54" s="2716"/>
      <c r="N54" s="2717"/>
      <c r="P54" s="2716">
        <f>G54</f>
        <v>208750</v>
      </c>
      <c r="Q54" s="2717"/>
      <c r="S54" s="2716"/>
      <c r="T54" s="2717"/>
      <c r="V54" s="2735"/>
      <c r="W54" s="2738"/>
      <c r="X54" s="2739"/>
    </row>
    <row r="55" spans="1:24" s="329" customFormat="1" ht="12" customHeight="1">
      <c r="B55" s="329" t="s">
        <v>2428</v>
      </c>
      <c r="G55" s="2716">
        <v>286405</v>
      </c>
      <c r="H55" s="2717"/>
      <c r="J55" s="2716"/>
      <c r="K55" s="2717"/>
      <c r="L55" s="1800"/>
      <c r="M55" s="2716"/>
      <c r="N55" s="2717"/>
      <c r="P55" s="2716">
        <f>G55*0.75</f>
        <v>214803.75</v>
      </c>
      <c r="Q55" s="2717"/>
      <c r="S55" s="2716">
        <f>G55-P55</f>
        <v>71601.25</v>
      </c>
      <c r="T55" s="2717"/>
      <c r="V55" s="2735"/>
      <c r="W55" s="2738"/>
      <c r="X55" s="2739"/>
    </row>
    <row r="56" spans="1:24" s="329" customFormat="1" ht="12" customHeight="1">
      <c r="B56" s="329" t="s">
        <v>2429</v>
      </c>
      <c r="G56" s="2716">
        <v>35500</v>
      </c>
      <c r="H56" s="2717"/>
      <c r="J56" s="2716"/>
      <c r="K56" s="2717"/>
      <c r="L56" s="1800"/>
      <c r="M56" s="2716"/>
      <c r="N56" s="2717"/>
      <c r="P56" s="2716">
        <f>G56</f>
        <v>35500</v>
      </c>
      <c r="Q56" s="2717"/>
      <c r="S56" s="2716"/>
      <c r="T56" s="2717"/>
      <c r="V56" s="2735"/>
      <c r="W56" s="2738"/>
      <c r="X56" s="2739"/>
    </row>
    <row r="57" spans="1:24" s="329" customFormat="1" ht="12" customHeight="1">
      <c r="B57" s="329" t="s">
        <v>2787</v>
      </c>
      <c r="G57" s="2716">
        <v>19800</v>
      </c>
      <c r="H57" s="2717"/>
      <c r="J57" s="2716"/>
      <c r="K57" s="2717"/>
      <c r="L57" s="1800"/>
      <c r="M57" s="2716"/>
      <c r="N57" s="2717"/>
      <c r="P57" s="2716">
        <v>19800</v>
      </c>
      <c r="Q57" s="2717"/>
      <c r="S57" s="2716"/>
      <c r="T57" s="2717"/>
      <c r="V57" s="2735"/>
      <c r="W57" s="2738"/>
      <c r="X57" s="2739"/>
    </row>
    <row r="58" spans="1:24" s="329" customFormat="1" ht="12" customHeight="1">
      <c r="B58" s="329" t="s">
        <v>753</v>
      </c>
      <c r="G58" s="2716">
        <v>159500</v>
      </c>
      <c r="H58" s="2717"/>
      <c r="J58" s="2716"/>
      <c r="K58" s="2717"/>
      <c r="L58" s="1800"/>
      <c r="M58" s="2716"/>
      <c r="N58" s="2717"/>
      <c r="P58" s="2716">
        <f>G58*0.4</f>
        <v>63800</v>
      </c>
      <c r="Q58" s="2717"/>
      <c r="S58" s="2716">
        <f>G58-P58</f>
        <v>95700</v>
      </c>
      <c r="T58" s="2717"/>
      <c r="V58" s="2735"/>
      <c r="W58" s="2738"/>
      <c r="X58" s="2739"/>
    </row>
    <row r="59" spans="1:24" s="329" customFormat="1" ht="12" customHeight="1">
      <c r="B59" s="329" t="s">
        <v>2430</v>
      </c>
      <c r="G59" s="2716">
        <v>50000</v>
      </c>
      <c r="H59" s="2717"/>
      <c r="J59" s="2716"/>
      <c r="K59" s="2717"/>
      <c r="L59" s="1800"/>
      <c r="M59" s="2716"/>
      <c r="N59" s="2717"/>
      <c r="P59" s="2716">
        <v>50000</v>
      </c>
      <c r="Q59" s="2717"/>
      <c r="S59" s="2716"/>
      <c r="T59" s="2717"/>
      <c r="V59" s="2735"/>
      <c r="W59" s="2738"/>
      <c r="X59" s="2739"/>
    </row>
    <row r="60" spans="1:24" s="329" customFormat="1" ht="12" customHeight="1">
      <c r="B60" s="329" t="s">
        <v>1323</v>
      </c>
      <c r="G60" s="2716">
        <v>107519</v>
      </c>
      <c r="H60" s="2717"/>
      <c r="J60" s="2716"/>
      <c r="K60" s="2717"/>
      <c r="L60" s="1800"/>
      <c r="M60" s="2716"/>
      <c r="N60" s="2717"/>
      <c r="P60" s="2716">
        <f>G60*0.4</f>
        <v>43007.600000000006</v>
      </c>
      <c r="Q60" s="2717"/>
      <c r="S60" s="2716">
        <f>G60-P60</f>
        <v>64511.399999999994</v>
      </c>
      <c r="T60" s="2717"/>
      <c r="V60" s="2735"/>
      <c r="W60" s="2738"/>
      <c r="X60" s="2739"/>
    </row>
    <row r="61" spans="1:24" s="329" customFormat="1" ht="12" customHeight="1">
      <c r="B61" s="391" t="s">
        <v>1195</v>
      </c>
      <c r="D61" s="389"/>
      <c r="E61" s="389"/>
      <c r="F61" s="390"/>
      <c r="G61" s="2716"/>
      <c r="H61" s="2717"/>
      <c r="I61" s="348"/>
      <c r="J61" s="2716"/>
      <c r="K61" s="2717"/>
      <c r="L61" s="1800"/>
      <c r="M61" s="2716"/>
      <c r="N61" s="2717"/>
      <c r="P61" s="2716"/>
      <c r="Q61" s="2717"/>
      <c r="S61" s="2716"/>
      <c r="T61" s="2717"/>
      <c r="V61" s="2735"/>
      <c r="W61" s="2738"/>
      <c r="X61" s="2739"/>
    </row>
    <row r="62" spans="1:24" s="329" customFormat="1" ht="12" customHeight="1">
      <c r="A62" s="412" t="str">
        <f>IF(AND(G62&gt;0,OR(C62="",C62="&lt;Enter detailed description here; use Comments section if needed&gt;")),"X","")</f>
        <v/>
      </c>
      <c r="B62" s="329" t="s">
        <v>771</v>
      </c>
      <c r="C62" s="2480" t="s">
        <v>4291</v>
      </c>
      <c r="D62" s="2480"/>
      <c r="E62" s="2480"/>
      <c r="F62" s="2481"/>
      <c r="G62" s="2716">
        <v>402500</v>
      </c>
      <c r="H62" s="2717"/>
      <c r="J62" s="2716"/>
      <c r="K62" s="2717"/>
      <c r="L62" s="1800"/>
      <c r="M62" s="2716"/>
      <c r="N62" s="2717"/>
      <c r="P62" s="2716"/>
      <c r="Q62" s="2717"/>
      <c r="S62" s="2716">
        <v>402500</v>
      </c>
      <c r="T62" s="2717"/>
      <c r="U62" s="411" t="str">
        <f>IF(AND(G62&gt;0,OR(C62="",C62="&lt;Enter detailed description here; use Comments section if needed&gt;")),"NO DESCRIPTION PROVIDED - please enter detailed description in Other box at left; use Comments section below if needed.","")</f>
        <v/>
      </c>
      <c r="V62" s="2735"/>
      <c r="W62" s="2738"/>
      <c r="X62" s="2739"/>
    </row>
    <row r="63" spans="1:24" s="329" customFormat="1" ht="12" customHeight="1" thickBot="1">
      <c r="A63" s="412" t="str">
        <f>IF(AND(G63&gt;0,OR(C63="",C63="&lt;Enter detailed description here; use Comments section if needed&gt;")),"X","")</f>
        <v/>
      </c>
      <c r="B63" s="329" t="s">
        <v>771</v>
      </c>
      <c r="C63" s="2480" t="s">
        <v>4199</v>
      </c>
      <c r="D63" s="2480"/>
      <c r="E63" s="2480"/>
      <c r="F63" s="2481"/>
      <c r="G63" s="2716"/>
      <c r="H63" s="2717"/>
      <c r="J63" s="2716"/>
      <c r="K63" s="2717"/>
      <c r="L63" s="1800"/>
      <c r="M63" s="2716"/>
      <c r="N63" s="2717"/>
      <c r="P63" s="2716"/>
      <c r="Q63" s="2717"/>
      <c r="S63" s="2716"/>
      <c r="T63" s="2717"/>
      <c r="U63" s="411" t="str">
        <f>IF(AND(G63&gt;0,OR(C63="",C63="&lt;Enter detailed description here; use Comments section if needed&gt;")),"NO DESCRIPTION PROVIDED - please enter detailed description in Other box at left; use Comments section below if needed.","")</f>
        <v/>
      </c>
      <c r="V63" s="2735"/>
      <c r="W63" s="2738"/>
      <c r="X63" s="2739"/>
    </row>
    <row r="64" spans="1:24" s="329" customFormat="1" ht="12" customHeight="1" thickTop="1">
      <c r="F64" s="385" t="s">
        <v>197</v>
      </c>
      <c r="G64" s="1961">
        <f>SUM(G53:H63)</f>
        <v>1269974</v>
      </c>
      <c r="H64" s="1965"/>
      <c r="J64" s="1961">
        <f>SUM(J53:K63)</f>
        <v>0</v>
      </c>
      <c r="K64" s="1965"/>
      <c r="L64" s="387"/>
      <c r="M64" s="1961">
        <f>SUM(M53:N63)</f>
        <v>0</v>
      </c>
      <c r="N64" s="1965"/>
      <c r="P64" s="1961">
        <f>SUM(P53:Q63)</f>
        <v>635661.35</v>
      </c>
      <c r="Q64" s="1965"/>
      <c r="S64" s="1961">
        <f>SUM(S53:T63)</f>
        <v>634312.65</v>
      </c>
      <c r="T64" s="1965"/>
      <c r="V64" s="2740">
        <f>SUM(V53:V63)</f>
        <v>0</v>
      </c>
      <c r="W64" s="2741"/>
      <c r="X64" s="2742"/>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716">
        <v>325000</v>
      </c>
      <c r="H66" s="2717"/>
      <c r="J66" s="2716"/>
      <c r="K66" s="2717"/>
      <c r="L66" s="1800"/>
      <c r="M66" s="2716"/>
      <c r="N66" s="2717"/>
      <c r="P66" s="2716">
        <v>325000</v>
      </c>
      <c r="Q66" s="2717"/>
      <c r="S66" s="2716"/>
      <c r="T66" s="2717"/>
      <c r="V66" s="2718"/>
      <c r="W66" s="2719"/>
      <c r="X66" s="2720"/>
    </row>
    <row r="67" spans="1:24" s="329" customFormat="1" ht="12" customHeight="1">
      <c r="B67" s="329" t="s">
        <v>495</v>
      </c>
      <c r="G67" s="2716">
        <v>71200</v>
      </c>
      <c r="H67" s="2717"/>
      <c r="J67" s="2716"/>
      <c r="K67" s="2717"/>
      <c r="L67" s="1800"/>
      <c r="M67" s="2716"/>
      <c r="N67" s="2717"/>
      <c r="P67" s="2716">
        <v>71200</v>
      </c>
      <c r="Q67" s="2717"/>
      <c r="S67" s="2716"/>
      <c r="T67" s="2717"/>
      <c r="V67" s="2718"/>
      <c r="W67" s="2721"/>
      <c r="X67" s="2722"/>
    </row>
    <row r="68" spans="1:24" s="329" customFormat="1" ht="12" customHeight="1">
      <c r="B68" s="329" t="s">
        <v>1166</v>
      </c>
      <c r="F68" s="329" t="s">
        <v>2875</v>
      </c>
      <c r="G68" s="2716"/>
      <c r="H68" s="2717"/>
      <c r="J68" s="2716"/>
      <c r="K68" s="2717"/>
      <c r="L68" s="1800"/>
      <c r="M68" s="2716"/>
      <c r="N68" s="2717"/>
      <c r="P68" s="2716"/>
      <c r="Q68" s="2717"/>
      <c r="S68" s="2716"/>
      <c r="T68" s="2717"/>
      <c r="V68" s="2718"/>
      <c r="W68" s="2721"/>
      <c r="X68" s="2722"/>
    </row>
    <row r="69" spans="1:24" s="329" customFormat="1" ht="12" customHeight="1">
      <c r="B69" s="329" t="s">
        <v>1167</v>
      </c>
      <c r="G69" s="2716"/>
      <c r="H69" s="2717"/>
      <c r="J69" s="2716"/>
      <c r="K69" s="2717"/>
      <c r="L69" s="1800"/>
      <c r="M69" s="2716"/>
      <c r="N69" s="2717"/>
      <c r="P69" s="2716"/>
      <c r="Q69" s="2717"/>
      <c r="S69" s="2716"/>
      <c r="T69" s="2717"/>
      <c r="V69" s="2718"/>
      <c r="W69" s="2721"/>
      <c r="X69" s="2722"/>
    </row>
    <row r="70" spans="1:24" s="329" customFormat="1" ht="12" customHeight="1">
      <c r="B70" s="329" t="s">
        <v>1168</v>
      </c>
      <c r="G70" s="2716">
        <v>5400</v>
      </c>
      <c r="H70" s="2717"/>
      <c r="J70" s="2716"/>
      <c r="K70" s="2717"/>
      <c r="L70" s="1800"/>
      <c r="M70" s="2716"/>
      <c r="N70" s="2717"/>
      <c r="P70" s="2716">
        <f>G70</f>
        <v>5400</v>
      </c>
      <c r="Q70" s="2717"/>
      <c r="S70" s="2716"/>
      <c r="T70" s="2717"/>
      <c r="V70" s="2718"/>
      <c r="W70" s="2721"/>
      <c r="X70" s="2722"/>
    </row>
    <row r="71" spans="1:24" s="329" customFormat="1" ht="12" customHeight="1">
      <c r="B71" s="329" t="s">
        <v>1169</v>
      </c>
      <c r="G71" s="2716"/>
      <c r="H71" s="2717"/>
      <c r="J71" s="2716"/>
      <c r="K71" s="2717"/>
      <c r="L71" s="1800"/>
      <c r="M71" s="2716"/>
      <c r="N71" s="2717"/>
      <c r="P71" s="2716"/>
      <c r="Q71" s="2717"/>
      <c r="S71" s="2716"/>
      <c r="T71" s="2717"/>
      <c r="V71" s="2718"/>
      <c r="W71" s="2721"/>
      <c r="X71" s="2722"/>
    </row>
    <row r="72" spans="1:24" s="329" customFormat="1" ht="12" customHeight="1">
      <c r="B72" s="329" t="s">
        <v>496</v>
      </c>
      <c r="G72" s="2716"/>
      <c r="H72" s="2717"/>
      <c r="J72" s="2716"/>
      <c r="K72" s="2717"/>
      <c r="L72" s="1800"/>
      <c r="M72" s="2716"/>
      <c r="N72" s="2717"/>
      <c r="P72" s="2716"/>
      <c r="Q72" s="2717"/>
      <c r="S72" s="2716"/>
      <c r="T72" s="2717"/>
      <c r="V72" s="2718"/>
      <c r="W72" s="2721"/>
      <c r="X72" s="2722"/>
    </row>
    <row r="73" spans="1:24" s="329" customFormat="1" ht="12" customHeight="1">
      <c r="B73" s="329" t="s">
        <v>497</v>
      </c>
      <c r="G73" s="2716">
        <v>100000</v>
      </c>
      <c r="H73" s="2717"/>
      <c r="J73" s="2716"/>
      <c r="K73" s="2717"/>
      <c r="L73" s="1800"/>
      <c r="M73" s="2716"/>
      <c r="N73" s="2717"/>
      <c r="P73" s="2716">
        <f>G73</f>
        <v>100000</v>
      </c>
      <c r="Q73" s="2717"/>
      <c r="S73" s="2716"/>
      <c r="T73" s="2717"/>
      <c r="V73" s="2718"/>
      <c r="W73" s="2721"/>
      <c r="X73" s="2722"/>
    </row>
    <row r="74" spans="1:24" s="329" customFormat="1" ht="12" customHeight="1">
      <c r="B74" s="329" t="s">
        <v>2127</v>
      </c>
      <c r="G74" s="2716">
        <v>21000</v>
      </c>
      <c r="H74" s="2717"/>
      <c r="J74" s="2716"/>
      <c r="K74" s="2717"/>
      <c r="L74" s="1800"/>
      <c r="M74" s="2716"/>
      <c r="N74" s="2717"/>
      <c r="P74" s="2716"/>
      <c r="Q74" s="2717"/>
      <c r="S74" s="2716">
        <f>G74</f>
        <v>21000</v>
      </c>
      <c r="T74" s="2717"/>
      <c r="V74" s="2718"/>
      <c r="W74" s="2721"/>
      <c r="X74" s="2722"/>
    </row>
    <row r="75" spans="1:24" s="329" customFormat="1" ht="12" customHeight="1">
      <c r="B75" s="329" t="s">
        <v>1324</v>
      </c>
      <c r="G75" s="2716"/>
      <c r="H75" s="2717"/>
      <c r="J75" s="2716"/>
      <c r="K75" s="2717"/>
      <c r="L75" s="1800"/>
      <c r="M75" s="2716"/>
      <c r="N75" s="2717"/>
      <c r="P75" s="2716"/>
      <c r="Q75" s="2717"/>
      <c r="S75" s="2716"/>
      <c r="T75" s="2717"/>
      <c r="V75" s="2718"/>
      <c r="W75" s="2721"/>
      <c r="X75" s="2722"/>
    </row>
    <row r="76" spans="1:24" s="329" customFormat="1" ht="12" customHeight="1" thickBot="1">
      <c r="A76" s="412" t="str">
        <f>IF(AND(G76&gt;0,OR(C76="",C76="&lt;Enter detailed description here; use Comments section if needed&gt;")),"X","")</f>
        <v/>
      </c>
      <c r="B76" s="329" t="s">
        <v>771</v>
      </c>
      <c r="C76" s="2480" t="s">
        <v>4292</v>
      </c>
      <c r="D76" s="2480"/>
      <c r="E76" s="2480"/>
      <c r="F76" s="2481"/>
      <c r="G76" s="2716">
        <v>72500</v>
      </c>
      <c r="H76" s="2717"/>
      <c r="J76" s="2716"/>
      <c r="K76" s="2717"/>
      <c r="L76" s="1800"/>
      <c r="M76" s="2716"/>
      <c r="N76" s="2717"/>
      <c r="P76" s="2716">
        <v>72500</v>
      </c>
      <c r="Q76" s="2717"/>
      <c r="S76" s="2716"/>
      <c r="T76" s="2717"/>
      <c r="U76" s="411" t="str">
        <f>IF(AND(G76&gt;0,OR(C76="",C76="&lt;Enter detailed description here; use Comments section if needed&gt;")),"NO DESCRIPTION PROVIDED - please enter detailed description in Other box at left; use Comments section below if needed.","")</f>
        <v/>
      </c>
      <c r="V76" s="2718"/>
      <c r="W76" s="2721"/>
      <c r="X76" s="2722"/>
    </row>
    <row r="77" spans="1:24" s="329" customFormat="1" ht="12" customHeight="1" thickTop="1">
      <c r="F77" s="385" t="s">
        <v>197</v>
      </c>
      <c r="G77" s="1961">
        <f>SUM(G66:H76)</f>
        <v>595100</v>
      </c>
      <c r="H77" s="1965"/>
      <c r="J77" s="1961">
        <f>SUM(J66:K76)</f>
        <v>0</v>
      </c>
      <c r="K77" s="1965"/>
      <c r="L77" s="387"/>
      <c r="M77" s="1961">
        <f>SUM(M66:N76)</f>
        <v>0</v>
      </c>
      <c r="N77" s="1965"/>
      <c r="P77" s="1961">
        <f>SUM(P66:Q76)</f>
        <v>574100</v>
      </c>
      <c r="Q77" s="1965"/>
      <c r="S77" s="1961">
        <f>SUM(S66:T76)</f>
        <v>21000</v>
      </c>
      <c r="T77" s="1965"/>
      <c r="V77" s="2726">
        <f>SUM(V66:V76)</f>
        <v>0</v>
      </c>
      <c r="W77" s="2727"/>
      <c r="X77" s="2728"/>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716">
        <v>192540</v>
      </c>
      <c r="H79" s="2717"/>
      <c r="J79" s="2716"/>
      <c r="K79" s="2717"/>
      <c r="L79" s="1800"/>
      <c r="M79" s="2716"/>
      <c r="N79" s="2717"/>
      <c r="P79" s="2716">
        <f>G79</f>
        <v>192540</v>
      </c>
      <c r="Q79" s="2717"/>
      <c r="S79" s="2716"/>
      <c r="T79" s="2717"/>
      <c r="V79" s="2718"/>
      <c r="W79" s="2743"/>
      <c r="X79" s="2744"/>
    </row>
    <row r="80" spans="1:24" s="329" customFormat="1" ht="12" customHeight="1">
      <c r="B80" s="329" t="s">
        <v>1318</v>
      </c>
      <c r="G80" s="2716"/>
      <c r="H80" s="2717"/>
      <c r="J80" s="2716"/>
      <c r="K80" s="2717"/>
      <c r="L80" s="1800"/>
      <c r="M80" s="2716"/>
      <c r="N80" s="2717"/>
      <c r="P80" s="2716"/>
      <c r="Q80" s="2717"/>
      <c r="S80" s="2716"/>
      <c r="T80" s="2717"/>
      <c r="V80" s="2718"/>
      <c r="W80" s="2745"/>
      <c r="X80" s="2746"/>
    </row>
    <row r="81" spans="1:24" s="329" customFormat="1" ht="12" customHeight="1">
      <c r="B81" s="329" t="s">
        <v>1319</v>
      </c>
      <c r="D81" s="394" t="s">
        <v>1455</v>
      </c>
      <c r="E81" s="2747" t="s">
        <v>3157</v>
      </c>
      <c r="G81" s="2716"/>
      <c r="H81" s="2717"/>
      <c r="I81" s="348"/>
      <c r="J81" s="2716"/>
      <c r="K81" s="2717"/>
      <c r="L81" s="1800"/>
      <c r="M81" s="2716"/>
      <c r="N81" s="2717"/>
      <c r="P81" s="2716"/>
      <c r="Q81" s="2717"/>
      <c r="S81" s="2716"/>
      <c r="T81" s="2717"/>
      <c r="V81" s="2718"/>
      <c r="W81" s="2745"/>
      <c r="X81" s="2746"/>
    </row>
    <row r="82" spans="1:24" s="329" customFormat="1" ht="12" customHeight="1" thickBot="1">
      <c r="B82" s="329" t="s">
        <v>1320</v>
      </c>
      <c r="D82" s="394" t="s">
        <v>1455</v>
      </c>
      <c r="E82" s="2747" t="s">
        <v>3157</v>
      </c>
      <c r="G82" s="2716"/>
      <c r="H82" s="2717"/>
      <c r="I82" s="348"/>
      <c r="J82" s="2716"/>
      <c r="K82" s="2717"/>
      <c r="L82" s="1800"/>
      <c r="M82" s="2716"/>
      <c r="N82" s="2717"/>
      <c r="P82" s="2716"/>
      <c r="Q82" s="2717"/>
      <c r="S82" s="2716"/>
      <c r="T82" s="2717"/>
      <c r="V82" s="2718"/>
      <c r="W82" s="2745"/>
      <c r="X82" s="2746"/>
    </row>
    <row r="83" spans="1:24" s="329" customFormat="1" ht="12" customHeight="1" thickTop="1">
      <c r="F83" s="385" t="s">
        <v>197</v>
      </c>
      <c r="G83" s="1961">
        <f>SUM(G79:H82)</f>
        <v>192540</v>
      </c>
      <c r="H83" s="1965"/>
      <c r="J83" s="1961">
        <f>SUM(J79:K82)</f>
        <v>0</v>
      </c>
      <c r="K83" s="1965"/>
      <c r="L83" s="387"/>
      <c r="M83" s="1961">
        <f>SUM(M79:N82)</f>
        <v>0</v>
      </c>
      <c r="N83" s="1965"/>
      <c r="P83" s="1961">
        <f>SUM(P79:Q82)</f>
        <v>192540</v>
      </c>
      <c r="Q83" s="1965"/>
      <c r="S83" s="1961">
        <f>SUM(S79:T82)</f>
        <v>0</v>
      </c>
      <c r="T83" s="1965"/>
      <c r="V83" s="2726">
        <f>SUM(V79:V82)</f>
        <v>0</v>
      </c>
      <c r="W83" s="2748"/>
      <c r="X83" s="2749"/>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716"/>
      <c r="H85" s="2717"/>
      <c r="J85" s="1968"/>
      <c r="K85" s="1968"/>
      <c r="L85" s="1800"/>
      <c r="M85" s="1968"/>
      <c r="N85" s="1968"/>
      <c r="P85" s="1968"/>
      <c r="Q85" s="1968"/>
      <c r="S85" s="2716"/>
      <c r="T85" s="2717"/>
      <c r="V85" s="2718"/>
      <c r="W85" s="2743"/>
      <c r="X85" s="2744"/>
    </row>
    <row r="86" spans="1:24" s="329" customFormat="1" ht="12" customHeight="1">
      <c r="B86" s="329" t="s">
        <v>1322</v>
      </c>
      <c r="G86" s="2716"/>
      <c r="H86" s="2717"/>
      <c r="J86" s="1968"/>
      <c r="K86" s="1968"/>
      <c r="L86" s="1800"/>
      <c r="M86" s="1968"/>
      <c r="N86" s="1968"/>
      <c r="P86" s="1968"/>
      <c r="Q86" s="1968"/>
      <c r="S86" s="2716"/>
      <c r="T86" s="2717"/>
      <c r="V86" s="2718"/>
      <c r="W86" s="2745"/>
      <c r="X86" s="2746"/>
    </row>
    <row r="87" spans="1:24" s="329" customFormat="1" ht="12" customHeight="1">
      <c r="B87" s="329" t="s">
        <v>1323</v>
      </c>
      <c r="G87" s="2716"/>
      <c r="H87" s="2717"/>
      <c r="J87" s="1968"/>
      <c r="K87" s="1968"/>
      <c r="L87" s="1800"/>
      <c r="M87" s="1968"/>
      <c r="N87" s="1968"/>
      <c r="P87" s="1968"/>
      <c r="Q87" s="1968"/>
      <c r="S87" s="2716"/>
      <c r="T87" s="2717"/>
      <c r="V87" s="2718"/>
      <c r="W87" s="2745"/>
      <c r="X87" s="2746"/>
    </row>
    <row r="88" spans="1:24" s="329" customFormat="1" ht="12" customHeight="1">
      <c r="B88" s="329" t="s">
        <v>1325</v>
      </c>
      <c r="G88" s="2716"/>
      <c r="H88" s="2717"/>
      <c r="J88" s="1968"/>
      <c r="K88" s="1968"/>
      <c r="L88" s="1800"/>
      <c r="M88" s="1968"/>
      <c r="N88" s="1968"/>
      <c r="P88" s="1968"/>
      <c r="Q88" s="1968"/>
      <c r="S88" s="2716"/>
      <c r="T88" s="2717"/>
      <c r="V88" s="2718"/>
      <c r="W88" s="2745"/>
      <c r="X88" s="2746"/>
    </row>
    <row r="89" spans="1:24" s="329" customFormat="1" ht="12" customHeight="1">
      <c r="B89" s="329" t="s">
        <v>2378</v>
      </c>
      <c r="G89" s="2716">
        <v>471976</v>
      </c>
      <c r="H89" s="2717"/>
      <c r="J89" s="1968"/>
      <c r="K89" s="1968"/>
      <c r="L89" s="1800"/>
      <c r="M89" s="1968"/>
      <c r="N89" s="1968"/>
      <c r="P89" s="1968"/>
      <c r="Q89" s="1968"/>
      <c r="S89" s="2716">
        <v>471976</v>
      </c>
      <c r="T89" s="2717"/>
      <c r="V89" s="2718"/>
      <c r="W89" s="2745"/>
      <c r="X89" s="2746"/>
    </row>
    <row r="90" spans="1:24" s="329" customFormat="1" ht="12" customHeight="1" thickBot="1">
      <c r="A90" s="412" t="str">
        <f>IF(AND(G90&gt;0,OR(C90="",C90="&lt;Enter detailed description here; use Comments section if needed&gt;")),"X","")</f>
        <v/>
      </c>
      <c r="B90" s="329" t="s">
        <v>771</v>
      </c>
      <c r="C90" s="2480" t="s">
        <v>4199</v>
      </c>
      <c r="D90" s="2480"/>
      <c r="E90" s="2480"/>
      <c r="F90" s="2481"/>
      <c r="G90" s="2716"/>
      <c r="H90" s="2717"/>
      <c r="J90" s="1968"/>
      <c r="K90" s="1968"/>
      <c r="L90" s="1800"/>
      <c r="M90" s="1968"/>
      <c r="N90" s="1968"/>
      <c r="P90" s="1968"/>
      <c r="Q90" s="1968"/>
      <c r="S90" s="2716"/>
      <c r="T90" s="2717"/>
      <c r="U90" s="411" t="str">
        <f>IF(AND(G90&gt;0,OR(C90="",C90="&lt;Enter detailed description here; use Comments section if needed&gt;")),"NO DESCRIPTION PROVIDED - please enter detailed description in Other box at left; use Comments section below if needed.","")</f>
        <v/>
      </c>
      <c r="V90" s="2718"/>
      <c r="W90" s="2745"/>
      <c r="X90" s="2746"/>
    </row>
    <row r="91" spans="1:24" s="329" customFormat="1" ht="12" customHeight="1" thickTop="1">
      <c r="F91" s="385" t="s">
        <v>197</v>
      </c>
      <c r="G91" s="1961">
        <f>SUM(G85:H90)</f>
        <v>471976</v>
      </c>
      <c r="H91" s="1965"/>
      <c r="J91" s="1968"/>
      <c r="K91" s="1968"/>
      <c r="L91" s="387"/>
      <c r="M91" s="1968"/>
      <c r="N91" s="1968"/>
      <c r="P91" s="1968"/>
      <c r="Q91" s="1968"/>
      <c r="S91" s="1961">
        <f>SUM(S85:T90)</f>
        <v>471976</v>
      </c>
      <c r="T91" s="1965"/>
      <c r="V91" s="2726">
        <f>SUM(V85:V90)</f>
        <v>0</v>
      </c>
      <c r="W91" s="2748"/>
      <c r="X91" s="2749"/>
    </row>
    <row r="92" spans="1:24" s="329"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row>
    <row r="93" spans="1:24" s="329" customFormat="1" ht="18" customHeight="1" thickBot="1">
      <c r="A93" s="474" t="s">
        <v>640</v>
      </c>
      <c r="B93" s="474" t="s">
        <v>2982</v>
      </c>
      <c r="H93" s="1793"/>
      <c r="I93" s="1793"/>
      <c r="J93" s="1969" t="s">
        <v>283</v>
      </c>
      <c r="K93" s="1970"/>
      <c r="L93" s="384"/>
      <c r="M93" s="1988" t="s">
        <v>507</v>
      </c>
      <c r="N93" s="1989"/>
      <c r="P93" s="1969" t="s">
        <v>284</v>
      </c>
      <c r="Q93" s="1970"/>
      <c r="S93" s="1969" t="s">
        <v>285</v>
      </c>
      <c r="T93" s="1970"/>
      <c r="W93" s="475" t="str">
        <f>B93</f>
        <v>DEVELOPMENT BUDGET  (cont'd)</v>
      </c>
    </row>
    <row r="94" spans="1:24" s="329" customFormat="1" ht="18" customHeight="1" thickBot="1">
      <c r="G94" s="1982" t="s">
        <v>103</v>
      </c>
      <c r="H94" s="1983"/>
      <c r="J94" s="1971"/>
      <c r="K94" s="1972"/>
      <c r="L94" s="384"/>
      <c r="M94" s="1990"/>
      <c r="N94" s="1991"/>
      <c r="P94" s="1971"/>
      <c r="Q94" s="1972"/>
      <c r="S94" s="1971"/>
      <c r="T94" s="1972"/>
      <c r="W94" s="1964" t="s">
        <v>2778</v>
      </c>
      <c r="X94" s="1964"/>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716"/>
      <c r="H96" s="2717"/>
      <c r="J96" s="387"/>
      <c r="K96" s="387"/>
      <c r="L96" s="1800"/>
      <c r="M96" s="387"/>
      <c r="N96" s="387"/>
      <c r="P96" s="387"/>
      <c r="Q96" s="387"/>
      <c r="S96" s="2716"/>
      <c r="T96" s="2717"/>
      <c r="V96" s="2718"/>
      <c r="W96" s="2743"/>
      <c r="X96" s="2744"/>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716">
        <v>5000</v>
      </c>
      <c r="H97" s="2717"/>
      <c r="J97" s="387"/>
      <c r="K97" s="387"/>
      <c r="L97" s="395"/>
      <c r="M97" s="387"/>
      <c r="N97" s="387"/>
      <c r="P97" s="387"/>
      <c r="Q97" s="387"/>
      <c r="S97" s="2716">
        <f>G97</f>
        <v>5000</v>
      </c>
      <c r="T97" s="2717"/>
      <c r="V97" s="2718"/>
      <c r="W97" s="2745"/>
      <c r="X97" s="2746"/>
    </row>
    <row r="98" spans="1:24" s="329" customFormat="1" ht="12.6" customHeight="1">
      <c r="B98" s="329" t="s">
        <v>2790</v>
      </c>
      <c r="G98" s="2716">
        <v>1500</v>
      </c>
      <c r="H98" s="2717"/>
      <c r="J98" s="387"/>
      <c r="K98" s="387"/>
      <c r="L98" s="395"/>
      <c r="M98" s="387"/>
      <c r="N98" s="387"/>
      <c r="O98" s="1793"/>
      <c r="P98" s="387"/>
      <c r="Q98" s="387"/>
      <c r="S98" s="2716">
        <f t="shared" ref="S98:S102" si="0">G98</f>
        <v>1500</v>
      </c>
      <c r="T98" s="2717"/>
      <c r="V98" s="2718"/>
      <c r="W98" s="2745"/>
      <c r="X98" s="2746"/>
    </row>
    <row r="99" spans="1:24" s="329" customFormat="1" ht="12.6" customHeight="1">
      <c r="B99" s="329" t="s">
        <v>538</v>
      </c>
      <c r="E99" s="1986">
        <f ca="1">'DCA Underwriting Assumptions'!$Q$83*J174</f>
        <v>70871.294578469533</v>
      </c>
      <c r="F99" s="1987"/>
      <c r="G99" s="2716">
        <f ca="1">E99</f>
        <v>70871.294578469533</v>
      </c>
      <c r="H99" s="2717"/>
      <c r="J99" s="387"/>
      <c r="K99" s="387"/>
      <c r="L99" s="1800"/>
      <c r="M99" s="387"/>
      <c r="N99" s="387"/>
      <c r="O99" s="1793"/>
      <c r="P99" s="387"/>
      <c r="Q99" s="387"/>
      <c r="S99" s="2716">
        <f t="shared" ca="1" si="0"/>
        <v>70871.294578469533</v>
      </c>
      <c r="T99" s="2717"/>
      <c r="V99" s="2718"/>
      <c r="W99" s="2745"/>
      <c r="X99" s="2746"/>
    </row>
    <row r="100" spans="1:24" s="329" customFormat="1" ht="12.6" customHeight="1">
      <c r="B100" s="329" t="s">
        <v>783</v>
      </c>
      <c r="E100" s="1986">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166400</v>
      </c>
      <c r="F100" s="1987"/>
      <c r="G100" s="2716">
        <v>166400</v>
      </c>
      <c r="H100" s="2717"/>
      <c r="J100" s="299"/>
      <c r="K100" s="299"/>
      <c r="L100" s="299"/>
      <c r="M100" s="299"/>
      <c r="N100" s="299"/>
      <c r="O100" s="299"/>
      <c r="P100" s="299"/>
      <c r="Q100" s="299"/>
      <c r="S100" s="2716">
        <f t="shared" si="0"/>
        <v>166400</v>
      </c>
      <c r="T100" s="2717"/>
      <c r="V100" s="2718"/>
      <c r="W100" s="2745"/>
      <c r="X100" s="2746"/>
    </row>
    <row r="101" spans="1:24" s="329" customFormat="1" ht="12.6" customHeight="1">
      <c r="B101" s="329" t="str">
        <f>CONCATENATE("DCA HOME Front End Analysis Fee (when ID of Interest; $",'DCA Underwriting Assumptions'!$Q$85,")")</f>
        <v>DCA HOME Front End Analysis Fee (when ID of Interest; $2700)</v>
      </c>
      <c r="G101" s="2716"/>
      <c r="H101" s="2717"/>
      <c r="J101" s="299"/>
      <c r="K101" s="299"/>
      <c r="L101" s="299"/>
      <c r="M101" s="299"/>
      <c r="N101" s="299"/>
      <c r="O101" s="299"/>
      <c r="P101" s="299"/>
      <c r="Q101" s="299"/>
      <c r="S101" s="2716">
        <f t="shared" si="0"/>
        <v>0</v>
      </c>
      <c r="T101" s="2717"/>
      <c r="V101" s="2718"/>
      <c r="W101" s="2745"/>
      <c r="X101" s="2746"/>
    </row>
    <row r="102" spans="1:24" s="329" customFormat="1" ht="12.6" customHeight="1">
      <c r="B102" s="329" t="str">
        <f>CONCATENATE("DCA Final Inspection Fee (Tax Credit only - no HOME; $",'DCA Underwriting Assumptions'!$Q$106,")")</f>
        <v>DCA Final Inspection Fee (Tax Credit only - no HOME; $3000)</v>
      </c>
      <c r="G102" s="2716">
        <v>3000</v>
      </c>
      <c r="H102" s="2717"/>
      <c r="J102" s="299"/>
      <c r="K102" s="299"/>
      <c r="L102" s="299"/>
      <c r="M102" s="299"/>
      <c r="N102" s="299"/>
      <c r="O102" s="299"/>
      <c r="P102" s="299"/>
      <c r="Q102" s="299"/>
      <c r="S102" s="2716">
        <f t="shared" si="0"/>
        <v>3000</v>
      </c>
      <c r="T102" s="2717"/>
      <c r="V102" s="2718"/>
      <c r="W102" s="2745"/>
      <c r="X102" s="2746"/>
    </row>
    <row r="103" spans="1:24" s="329" customFormat="1" ht="12.6" customHeight="1">
      <c r="A103" s="412" t="str">
        <f>IF(AND(G103&gt;0,OR(C103="",C103="&lt;Enter detailed description here; use Comments section if needed&gt;")),"X","")</f>
        <v/>
      </c>
      <c r="B103" s="329" t="s">
        <v>771</v>
      </c>
      <c r="C103" s="2480" t="s">
        <v>4199</v>
      </c>
      <c r="D103" s="2480"/>
      <c r="E103" s="2480"/>
      <c r="F103" s="2481"/>
      <c r="G103" s="2716"/>
      <c r="H103" s="2717"/>
      <c r="J103" s="299"/>
      <c r="K103" s="299"/>
      <c r="L103" s="299"/>
      <c r="M103" s="299"/>
      <c r="N103" s="299"/>
      <c r="O103" s="299"/>
      <c r="P103" s="299"/>
      <c r="Q103" s="299"/>
      <c r="S103" s="2716"/>
      <c r="T103" s="2717"/>
      <c r="U103" s="411" t="str">
        <f>IF(AND(G103&gt;0,OR(C103="",C103="&lt;Enter detailed description here; use Comments section if needed&gt;")),"NO DESCRIPTION PROVIDED - please enter detailed description in Other box at left; use Comments section below if needed.","")</f>
        <v/>
      </c>
      <c r="V103" s="2718"/>
      <c r="W103" s="2745"/>
      <c r="X103" s="2746"/>
    </row>
    <row r="104" spans="1:24" s="329" customFormat="1" ht="12.6" customHeight="1" thickBot="1">
      <c r="A104" s="412" t="str">
        <f>IF(AND(G104&gt;0,OR(C104="",C104="&lt;Enter detailed description here; use Comments section if needed&gt;")),"X","")</f>
        <v/>
      </c>
      <c r="B104" s="329" t="s">
        <v>771</v>
      </c>
      <c r="C104" s="2480" t="s">
        <v>4199</v>
      </c>
      <c r="D104" s="2480"/>
      <c r="E104" s="2480"/>
      <c r="F104" s="2481"/>
      <c r="G104" s="2716"/>
      <c r="H104" s="2717"/>
      <c r="J104" s="299"/>
      <c r="K104" s="299"/>
      <c r="L104" s="299"/>
      <c r="M104" s="299"/>
      <c r="N104" s="299"/>
      <c r="O104" s="299"/>
      <c r="P104" s="299"/>
      <c r="Q104" s="299"/>
      <c r="S104" s="2716"/>
      <c r="T104" s="2717"/>
      <c r="U104" s="411" t="str">
        <f>IF(AND(G104&gt;0,OR(C104="",C104="&lt;Enter detailed description here; use Comments section if needed&gt;")),"NO DESCRIPTION PROVIDED - please enter detailed description in Other box at left; use Comments section below if needed.","")</f>
        <v/>
      </c>
      <c r="V104" s="2718"/>
      <c r="W104" s="2745"/>
      <c r="X104" s="2746"/>
    </row>
    <row r="105" spans="1:24" s="329" customFormat="1" ht="12.6" customHeight="1" thickTop="1">
      <c r="F105" s="385" t="s">
        <v>197</v>
      </c>
      <c r="G105" s="1961">
        <f ca="1">SUM(G96:H104)</f>
        <v>246771.29457846953</v>
      </c>
      <c r="H105" s="1965"/>
      <c r="J105" s="387"/>
      <c r="K105" s="387"/>
      <c r="L105" s="1800"/>
      <c r="M105" s="387"/>
      <c r="N105" s="387"/>
      <c r="P105" s="387"/>
      <c r="Q105" s="387"/>
      <c r="S105" s="1961">
        <f ca="1">SUM(S96:T104)</f>
        <v>246771.29457846953</v>
      </c>
      <c r="T105" s="1965"/>
      <c r="V105" s="2726">
        <f>SUM(V96:V104)</f>
        <v>0</v>
      </c>
      <c r="W105" s="2748"/>
      <c r="X105" s="2749"/>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716">
        <v>5000</v>
      </c>
      <c r="H107" s="2717"/>
      <c r="J107" s="1968"/>
      <c r="K107" s="1968"/>
      <c r="L107" s="1800"/>
      <c r="M107" s="1968"/>
      <c r="N107" s="1968"/>
      <c r="O107" s="1793"/>
      <c r="P107" s="1968"/>
      <c r="Q107" s="1968"/>
      <c r="S107" s="2716">
        <f>G107</f>
        <v>5000</v>
      </c>
      <c r="T107" s="2717"/>
      <c r="V107" s="2718"/>
      <c r="W107" s="2743"/>
      <c r="X107" s="2744"/>
    </row>
    <row r="108" spans="1:24" s="329" customFormat="1" ht="12.6" customHeight="1">
      <c r="B108" s="329" t="s">
        <v>293</v>
      </c>
      <c r="G108" s="2716">
        <v>10000</v>
      </c>
      <c r="H108" s="2717"/>
      <c r="J108" s="1968"/>
      <c r="K108" s="1968"/>
      <c r="L108" s="1800"/>
      <c r="M108" s="1968"/>
      <c r="N108" s="1968"/>
      <c r="O108" s="1793"/>
      <c r="P108" s="1968"/>
      <c r="Q108" s="1968"/>
      <c r="S108" s="2716">
        <v>10000</v>
      </c>
      <c r="T108" s="2717"/>
      <c r="V108" s="2718"/>
      <c r="W108" s="2745"/>
      <c r="X108" s="2746"/>
    </row>
    <row r="109" spans="1:24" s="329" customFormat="1" ht="12.6" customHeight="1">
      <c r="B109" s="329" t="s">
        <v>2471</v>
      </c>
      <c r="G109" s="2716">
        <v>35000</v>
      </c>
      <c r="H109" s="2717"/>
      <c r="J109" s="1968"/>
      <c r="K109" s="1968"/>
      <c r="L109" s="1800"/>
      <c r="M109" s="1968"/>
      <c r="N109" s="1968"/>
      <c r="O109" s="1793"/>
      <c r="P109" s="1968"/>
      <c r="Q109" s="1968"/>
      <c r="S109" s="2716">
        <f>G109</f>
        <v>35000</v>
      </c>
      <c r="T109" s="2717"/>
      <c r="V109" s="2718"/>
      <c r="W109" s="2745"/>
      <c r="X109" s="2746"/>
    </row>
    <row r="110" spans="1:24" s="329" customFormat="1" ht="12.6" customHeight="1" thickBot="1">
      <c r="A110" s="412" t="str">
        <f>IF(AND(G110&gt;0,OR(C110="",C110="&lt;Enter detailed description here; use Comments section if needed&gt;")),"X","")</f>
        <v/>
      </c>
      <c r="B110" s="329" t="s">
        <v>771</v>
      </c>
      <c r="C110" s="2480" t="s">
        <v>4337</v>
      </c>
      <c r="D110" s="2480"/>
      <c r="E110" s="2480"/>
      <c r="F110" s="2481"/>
      <c r="G110" s="2716">
        <v>5000</v>
      </c>
      <c r="H110" s="2717"/>
      <c r="J110" s="1968"/>
      <c r="K110" s="1968"/>
      <c r="L110" s="1800"/>
      <c r="M110" s="1968"/>
      <c r="N110" s="1968"/>
      <c r="O110" s="1793"/>
      <c r="P110" s="1968"/>
      <c r="Q110" s="1968"/>
      <c r="S110" s="2716">
        <f>G110</f>
        <v>5000</v>
      </c>
      <c r="T110" s="2717"/>
      <c r="U110" s="411" t="str">
        <f>IF(AND(G110&gt;0,OR(C110="",C110="&lt;Enter detailed description here; use Comments section if needed&gt;")),"NO DESCRIPTION PROVIDED - please enter detailed description in Other box at left; use Comments section below if needed.","")</f>
        <v/>
      </c>
      <c r="V110" s="2718"/>
      <c r="W110" s="2745"/>
      <c r="X110" s="2746"/>
    </row>
    <row r="111" spans="1:24" s="329" customFormat="1" ht="12.6" customHeight="1" thickTop="1">
      <c r="F111" s="385" t="s">
        <v>197</v>
      </c>
      <c r="G111" s="1961">
        <f>SUM(G107:H110)</f>
        <v>55000</v>
      </c>
      <c r="H111" s="1965"/>
      <c r="J111" s="1968"/>
      <c r="K111" s="1968"/>
      <c r="L111" s="1800"/>
      <c r="M111" s="1968"/>
      <c r="N111" s="1968"/>
      <c r="O111" s="1793"/>
      <c r="P111" s="1968"/>
      <c r="Q111" s="1968"/>
      <c r="S111" s="1961">
        <f>SUM(S107:T110)</f>
        <v>55000</v>
      </c>
      <c r="T111" s="1965"/>
      <c r="V111" s="2726">
        <f>SUM(V107:V110)</f>
        <v>0</v>
      </c>
      <c r="W111" s="2748"/>
      <c r="X111" s="2749"/>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0.24</v>
      </c>
      <c r="G113" s="2716">
        <v>600000</v>
      </c>
      <c r="H113" s="2717"/>
      <c r="J113" s="2716"/>
      <c r="K113" s="2717"/>
      <c r="L113" s="386"/>
      <c r="M113" s="2716"/>
      <c r="N113" s="2717"/>
      <c r="P113" s="2716">
        <v>600000</v>
      </c>
      <c r="Q113" s="2717"/>
      <c r="S113" s="2716"/>
      <c r="T113" s="2717"/>
      <c r="V113" s="2718"/>
      <c r="W113" s="2743"/>
      <c r="X113" s="2744"/>
    </row>
    <row r="114" spans="1:24" s="329" customFormat="1" ht="12.6" customHeight="1">
      <c r="B114" s="329" t="s">
        <v>1931</v>
      </c>
      <c r="F114" s="447">
        <f>IF($G$117=0,0,G114/$G$117)</f>
        <v>0.04</v>
      </c>
      <c r="G114" s="2716">
        <v>100000</v>
      </c>
      <c r="H114" s="2717"/>
      <c r="J114" s="2716"/>
      <c r="K114" s="2717"/>
      <c r="L114" s="1800"/>
      <c r="M114" s="2716"/>
      <c r="N114" s="2717"/>
      <c r="P114" s="2716">
        <v>100000</v>
      </c>
      <c r="Q114" s="2717"/>
      <c r="S114" s="2716"/>
      <c r="T114" s="2717"/>
      <c r="V114" s="2718"/>
      <c r="W114" s="2745"/>
      <c r="X114" s="2746"/>
    </row>
    <row r="115" spans="1:24" s="329" customFormat="1" ht="12.6" customHeight="1">
      <c r="B115" s="329" t="s">
        <v>4048</v>
      </c>
      <c r="F115" s="447">
        <f>IF($G$117=0,0,G115/$G$117)</f>
        <v>0</v>
      </c>
      <c r="G115" s="2716"/>
      <c r="H115" s="2717"/>
      <c r="J115" s="2716"/>
      <c r="K115" s="2717"/>
      <c r="L115" s="1800"/>
      <c r="M115" s="2716"/>
      <c r="N115" s="2717"/>
      <c r="P115" s="2716"/>
      <c r="Q115" s="2717"/>
      <c r="S115" s="2716"/>
      <c r="T115" s="2717"/>
      <c r="V115" s="2718"/>
      <c r="W115" s="2745"/>
      <c r="X115" s="2746"/>
    </row>
    <row r="116" spans="1:24" s="329" customFormat="1" ht="12.6" customHeight="1" thickBot="1">
      <c r="B116" s="329" t="s">
        <v>1923</v>
      </c>
      <c r="F116" s="447">
        <f>IF($G$117=0,0,G116/$G$117)</f>
        <v>0.72</v>
      </c>
      <c r="G116" s="2716">
        <v>1800000</v>
      </c>
      <c r="H116" s="2717"/>
      <c r="J116" s="2716"/>
      <c r="K116" s="2717"/>
      <c r="L116" s="1800"/>
      <c r="M116" s="2716"/>
      <c r="N116" s="2717"/>
      <c r="P116" s="2716">
        <v>1800000</v>
      </c>
      <c r="Q116" s="2717"/>
      <c r="S116" s="2716"/>
      <c r="T116" s="2717"/>
      <c r="V116" s="2718"/>
      <c r="W116" s="2745"/>
      <c r="X116" s="2746"/>
    </row>
    <row r="117" spans="1:24" s="329" customFormat="1" ht="12.6" customHeight="1" thickTop="1">
      <c r="C117" s="411" t="str">
        <f>IF(G117&lt;='DCA Underwriting Assumptions'!$Q$92,"","Developer Fee exceeds DCA Program Maximum !!!")</f>
        <v>Developer Fee exceeds DCA Program Maximum !!!</v>
      </c>
      <c r="F117" s="385" t="s">
        <v>197</v>
      </c>
      <c r="G117" s="1961">
        <f>SUM(G113:H116)</f>
        <v>2500000</v>
      </c>
      <c r="H117" s="1965"/>
      <c r="J117" s="1961">
        <f>SUM(J113:K116)</f>
        <v>0</v>
      </c>
      <c r="K117" s="1965"/>
      <c r="L117" s="1800"/>
      <c r="M117" s="1961">
        <f>SUM(M113:N116)</f>
        <v>0</v>
      </c>
      <c r="N117" s="1965"/>
      <c r="P117" s="1961">
        <f>SUM(P113:Q116)</f>
        <v>2500000</v>
      </c>
      <c r="Q117" s="1965"/>
      <c r="S117" s="1961">
        <f>SUM(S113:T116)</f>
        <v>0</v>
      </c>
      <c r="T117" s="1965"/>
      <c r="V117" s="2726">
        <f>SUM(V113:V116)</f>
        <v>0</v>
      </c>
      <c r="W117" s="2748"/>
      <c r="X117" s="2749"/>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716">
        <v>35000</v>
      </c>
      <c r="H119" s="2717"/>
      <c r="J119" s="396"/>
      <c r="K119" s="396"/>
      <c r="L119" s="396"/>
      <c r="M119" s="396"/>
      <c r="N119" s="396"/>
      <c r="P119" s="396"/>
      <c r="Q119" s="396"/>
      <c r="S119" s="2716">
        <f>G119</f>
        <v>35000</v>
      </c>
      <c r="T119" s="2717"/>
      <c r="V119" s="2718"/>
      <c r="W119" s="2743"/>
      <c r="X119" s="2744"/>
    </row>
    <row r="120" spans="1:24" s="329" customFormat="1" ht="12.6" customHeight="1">
      <c r="B120" s="329" t="s">
        <v>1593</v>
      </c>
      <c r="F120" s="569">
        <f>+'Part VI-Revenues &amp; Expenses'!$P$176*('DCA Underwriting Assumptions'!$Q$105/12)</f>
        <v>386556.5</v>
      </c>
      <c r="G120" s="2716">
        <f>F120</f>
        <v>386556.5</v>
      </c>
      <c r="H120" s="2717"/>
      <c r="J120" s="1968"/>
      <c r="K120" s="1968"/>
      <c r="L120" s="1800"/>
      <c r="M120" s="1968"/>
      <c r="N120" s="1968"/>
      <c r="O120" s="1793"/>
      <c r="P120" s="1968"/>
      <c r="Q120" s="1968"/>
      <c r="R120" s="1793"/>
      <c r="S120" s="2716">
        <f t="shared" ref="S120:S121" si="1">G120</f>
        <v>386556.5</v>
      </c>
      <c r="T120" s="2717"/>
      <c r="V120" s="2718"/>
      <c r="W120" s="2745"/>
      <c r="X120" s="2746"/>
    </row>
    <row r="121" spans="1:24" s="329" customFormat="1" ht="12.6" customHeight="1">
      <c r="B121" s="329" t="s">
        <v>704</v>
      </c>
      <c r="F121" s="570">
        <f>'Part VI-Revenues &amp; Expenses'!$P$176*('DCA Underwriting Assumptions'!$Q$104/12)+('Part VII-Pro Forma'!$B$23+'Part VII-Pro Forma'!$B$24+'Part VII-Pro Forma'!$B$25+'Part VII-Pro Forma'!$B$26)*'DCA Underwriting Assumptions'!$Q$103/(-12)</f>
        <v>1061490.5438886317</v>
      </c>
      <c r="G121" s="2716">
        <v>1035940</v>
      </c>
      <c r="H121" s="2717"/>
      <c r="J121" s="395"/>
      <c r="K121" s="395"/>
      <c r="L121" s="395"/>
      <c r="M121" s="395"/>
      <c r="N121" s="395"/>
      <c r="O121" s="1793"/>
      <c r="P121" s="395"/>
      <c r="Q121" s="395"/>
      <c r="R121" s="1793"/>
      <c r="S121" s="2716">
        <f t="shared" si="1"/>
        <v>1035940</v>
      </c>
      <c r="T121" s="2717"/>
      <c r="V121" s="2718"/>
      <c r="W121" s="2745"/>
      <c r="X121" s="2746"/>
    </row>
    <row r="122" spans="1:24" s="329" customFormat="1" ht="12.6" customHeight="1">
      <c r="B122" s="329" t="s">
        <v>1291</v>
      </c>
      <c r="G122" s="2716"/>
      <c r="H122" s="2717"/>
      <c r="J122" s="396"/>
      <c r="K122" s="396"/>
      <c r="L122" s="396"/>
      <c r="M122" s="396"/>
      <c r="N122" s="396"/>
      <c r="P122" s="396"/>
      <c r="Q122" s="396"/>
      <c r="S122" s="2716"/>
      <c r="T122" s="2717"/>
      <c r="V122" s="2718"/>
      <c r="W122" s="2745"/>
      <c r="X122" s="2746"/>
    </row>
    <row r="123" spans="1:24" s="329" customFormat="1" ht="12.6" customHeight="1">
      <c r="B123" s="329" t="s">
        <v>1292</v>
      </c>
      <c r="E123" s="1134" t="s">
        <v>3852</v>
      </c>
      <c r="F123" s="524">
        <f>IF('Part VI-Revenues &amp; Expenses'!$O$62=0,0,G123/'Part VI-Revenues &amp; Expenses'!$O$62)</f>
        <v>848.83774038461536</v>
      </c>
      <c r="G123" s="2716">
        <v>176558.25</v>
      </c>
      <c r="H123" s="2717"/>
      <c r="J123" s="2716"/>
      <c r="K123" s="2717"/>
      <c r="L123" s="1800"/>
      <c r="M123" s="2716"/>
      <c r="N123" s="2717"/>
      <c r="P123" s="2716">
        <f>G123</f>
        <v>176558.25</v>
      </c>
      <c r="Q123" s="2717"/>
      <c r="S123" s="2716"/>
      <c r="T123" s="2717"/>
      <c r="V123" s="2718"/>
      <c r="W123" s="2745"/>
      <c r="X123" s="2746"/>
    </row>
    <row r="124" spans="1:24" s="329" customFormat="1" ht="12.6" customHeight="1" thickBot="1">
      <c r="A124" s="412" t="str">
        <f>IF(AND(G124&gt;0,OR(C124="",C124="&lt;Enter detailed description here; use Comments section if needed&gt;")),"X","")</f>
        <v/>
      </c>
      <c r="B124" s="329" t="s">
        <v>771</v>
      </c>
      <c r="C124" s="2480" t="s">
        <v>4350</v>
      </c>
      <c r="D124" s="2480"/>
      <c r="E124" s="2480"/>
      <c r="F124" s="2481"/>
      <c r="G124" s="2716">
        <f>'Part III-Sources of Funds'!I37*0.04</f>
        <v>460000</v>
      </c>
      <c r="H124" s="2717"/>
      <c r="J124" s="2716"/>
      <c r="K124" s="2717"/>
      <c r="L124" s="1800"/>
      <c r="M124" s="2716"/>
      <c r="N124" s="2717"/>
      <c r="P124" s="2716"/>
      <c r="Q124" s="2717"/>
      <c r="S124" s="2716">
        <f>G124-P124</f>
        <v>460000</v>
      </c>
      <c r="T124" s="2717"/>
      <c r="U124" s="411" t="str">
        <f>IF(AND(G124&gt;0,OR(C124="",C124="&lt;Enter detailed description here; use Comments section if needed&gt;")),"NO DESCRIPTION PROVIDED - please enter detailed description in Other box at left; use Comments section below if needed.","")</f>
        <v/>
      </c>
      <c r="V124" s="2718"/>
      <c r="W124" s="2745"/>
      <c r="X124" s="2746"/>
    </row>
    <row r="125" spans="1:24" s="329" customFormat="1" ht="12.6" customHeight="1" thickTop="1">
      <c r="B125" s="397"/>
      <c r="F125" s="385" t="s">
        <v>197</v>
      </c>
      <c r="G125" s="1961">
        <f>SUM(G119:H124)</f>
        <v>2094054.75</v>
      </c>
      <c r="H125" s="1965"/>
      <c r="J125" s="1961">
        <f>SUM(J123:K124)</f>
        <v>0</v>
      </c>
      <c r="K125" s="1965"/>
      <c r="L125" s="1800"/>
      <c r="M125" s="1961">
        <f>SUM(M123:N124)</f>
        <v>0</v>
      </c>
      <c r="N125" s="1965"/>
      <c r="P125" s="1961">
        <f>SUM(P123:Q124)</f>
        <v>176558.25</v>
      </c>
      <c r="Q125" s="1965"/>
      <c r="S125" s="1961">
        <f>SUM(S119:T124)</f>
        <v>1917496.5</v>
      </c>
      <c r="T125" s="1965"/>
      <c r="V125" s="2726">
        <f>SUM(V119:V124)</f>
        <v>0</v>
      </c>
      <c r="W125" s="2748"/>
      <c r="X125" s="2749"/>
    </row>
    <row r="126" spans="1:24" s="329" customFormat="1" ht="13.15" customHeight="1">
      <c r="B126" s="331" t="s">
        <v>634</v>
      </c>
      <c r="C126" s="1783"/>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783"/>
      <c r="G127" s="2716">
        <v>238990</v>
      </c>
      <c r="H127" s="2717"/>
      <c r="J127" s="2716"/>
      <c r="K127" s="2717"/>
      <c r="L127" s="386"/>
      <c r="M127" s="2716"/>
      <c r="N127" s="2717"/>
      <c r="P127" s="2716">
        <f>G127</f>
        <v>238990</v>
      </c>
      <c r="Q127" s="2717"/>
      <c r="S127" s="2716"/>
      <c r="T127" s="2717"/>
      <c r="V127" s="2718"/>
      <c r="W127" s="2743"/>
      <c r="X127" s="2744"/>
    </row>
    <row r="128" spans="1:24" s="329" customFormat="1" ht="12.6" customHeight="1" thickBot="1">
      <c r="A128" s="412" t="str">
        <f>IF(AND(G128&gt;0,OR(C128="",C128="&lt;Enter detailed description here; use Comments section if needed&gt;")),"X","")</f>
        <v/>
      </c>
      <c r="B128" s="329" t="s">
        <v>771</v>
      </c>
      <c r="C128" s="2480" t="s">
        <v>4199</v>
      </c>
      <c r="D128" s="2480"/>
      <c r="E128" s="2480"/>
      <c r="F128" s="2481"/>
      <c r="G128" s="2716"/>
      <c r="H128" s="2717"/>
      <c r="J128" s="2716"/>
      <c r="K128" s="2717"/>
      <c r="L128" s="1800"/>
      <c r="M128" s="2716"/>
      <c r="N128" s="2717"/>
      <c r="P128" s="2716"/>
      <c r="Q128" s="2717"/>
      <c r="S128" s="2716"/>
      <c r="T128" s="2717"/>
      <c r="U128" s="411" t="str">
        <f>IF(AND(G128&gt;0,OR(C128="",C128="&lt;Enter detailed description here; use Comments section if needed&gt;")),"NO DESCRIPTION PROVIDED - please enter detailed description in Other box at left; use Comments section below if needed.","")</f>
        <v/>
      </c>
      <c r="V128" s="2718"/>
      <c r="W128" s="2745"/>
      <c r="X128" s="2746"/>
    </row>
    <row r="129" spans="1:24" s="329" customFormat="1" ht="12.6" customHeight="1" thickTop="1">
      <c r="C129" s="1783"/>
      <c r="F129" s="385" t="s">
        <v>197</v>
      </c>
      <c r="G129" s="1961">
        <f>SUM(G127:H128)</f>
        <v>238990</v>
      </c>
      <c r="H129" s="1965"/>
      <c r="J129" s="1961">
        <f>SUM(J127:K128)</f>
        <v>0</v>
      </c>
      <c r="K129" s="1965"/>
      <c r="L129" s="1800"/>
      <c r="M129" s="1961">
        <f>SUM(M127:N128)</f>
        <v>0</v>
      </c>
      <c r="N129" s="1965"/>
      <c r="P129" s="1961">
        <f>SUM(P127:Q128)</f>
        <v>238990</v>
      </c>
      <c r="Q129" s="1965"/>
      <c r="S129" s="1961">
        <f>SUM(S127:T128)</f>
        <v>0</v>
      </c>
      <c r="T129" s="1965"/>
      <c r="V129" s="2726">
        <f>SUM(V127:V128)</f>
        <v>0</v>
      </c>
      <c r="W129" s="2745"/>
      <c r="X129" s="2746"/>
    </row>
    <row r="130" spans="1:24" s="329" customFormat="1" ht="3" customHeight="1" thickBot="1">
      <c r="C130" s="1783"/>
      <c r="H130" s="393"/>
      <c r="I130" s="393"/>
      <c r="L130" s="1793"/>
      <c r="W130" s="2745"/>
      <c r="X130" s="2746"/>
    </row>
    <row r="131" spans="1:24" s="329" customFormat="1" ht="13.9" customHeight="1" thickBot="1">
      <c r="B131" s="335" t="s">
        <v>2886</v>
      </c>
      <c r="G131" s="1973">
        <f ca="1">G17+G23+G27+G33+G38+G41+G47+G64+G77+G83+G91+G105+G111+G117+G125+G129</f>
        <v>25231313.324578471</v>
      </c>
      <c r="H131" s="1974"/>
      <c r="J131" s="1973">
        <f>J17+J23+J27+J33+J38+J41+J47+J64+J77+J83+J91+J105+J111+J117+J125+J129</f>
        <v>0</v>
      </c>
      <c r="K131" s="1974"/>
      <c r="M131" s="1973">
        <f>M17+M23+M27+M33+M38+M41+M47+M64+M77+M83+M91+M105+M111+M117+M125+M129</f>
        <v>1300000</v>
      </c>
      <c r="N131" s="1974"/>
      <c r="P131" s="1973">
        <f>P17+P23+P27+P33+P38+P41+P47+P64+P77+P83+P91+P105+P111+P117+P125+P129</f>
        <v>20205163.399999999</v>
      </c>
      <c r="Q131" s="1974"/>
      <c r="S131" s="1973">
        <f ca="1">S17+S23+S27+S33+S38+S41+S47+S64+S77+S83+S91+S105+S111+S117+S125+S129</f>
        <v>3726149.6445784699</v>
      </c>
      <c r="T131" s="1974"/>
      <c r="V131" s="2750">
        <f>V17+V23+V27+V33+V38+V41+V47+V64+V77+V83+V91+V105+V111+V117+V125+V129</f>
        <v>0</v>
      </c>
      <c r="W131" s="2751"/>
      <c r="X131" s="2749"/>
    </row>
    <row r="132" spans="1:24" s="329" customFormat="1" ht="3" customHeight="1">
      <c r="C132" s="1783"/>
      <c r="H132" s="393"/>
      <c r="I132" s="393"/>
      <c r="L132" s="1793"/>
    </row>
    <row r="133" spans="1:24" s="329" customFormat="1" ht="13.9" customHeight="1">
      <c r="B133" s="580" t="s">
        <v>2881</v>
      </c>
      <c r="C133" s="578"/>
      <c r="D133" s="2003">
        <f ca="1">IF('Part VI-Revenues &amp; Expenses'!$O$62=0,0,G131/'Part VI-Revenues &amp; Expenses'!$O$62)</f>
        <v>121304.39098355034</v>
      </c>
      <c r="E133" s="2003"/>
      <c r="F133" s="579" t="s">
        <v>2880</v>
      </c>
      <c r="G133" s="1980">
        <f ca="1">IF('Part I-Project Information'!$P$60=0,0,G131/'Part I-Project Information'!$P$60)</f>
        <v>170.01545304488008</v>
      </c>
      <c r="H133" s="1981"/>
      <c r="I133" s="398"/>
    </row>
    <row r="134" spans="1:24" s="329" customFormat="1" ht="3" customHeight="1">
      <c r="I134" s="398"/>
      <c r="L134" s="398"/>
    </row>
    <row r="135" spans="1:24" s="329" customFormat="1" ht="3.6" customHeight="1" thickBot="1">
      <c r="D135" s="1783"/>
      <c r="E135" s="1783"/>
      <c r="I135" s="393"/>
      <c r="J135" s="393"/>
      <c r="K135" s="399"/>
      <c r="L135" s="334"/>
      <c r="P135" s="1793"/>
    </row>
    <row r="136" spans="1:24" s="329" customFormat="1" ht="25.9" customHeight="1">
      <c r="A136" s="474" t="s">
        <v>770</v>
      </c>
      <c r="B136" s="476" t="s">
        <v>1480</v>
      </c>
      <c r="C136" s="1174"/>
      <c r="D136" s="1800"/>
      <c r="E136" s="1800"/>
      <c r="F136" s="1800"/>
      <c r="G136" s="1793"/>
      <c r="H136" s="1793"/>
      <c r="I136" s="400"/>
      <c r="J136" s="1969" t="s">
        <v>283</v>
      </c>
      <c r="K136" s="1970"/>
      <c r="M136" s="1969" t="s">
        <v>102</v>
      </c>
      <c r="N136" s="1970"/>
      <c r="P136" s="1969" t="s">
        <v>284</v>
      </c>
      <c r="Q136" s="1970"/>
      <c r="W136" s="475" t="str">
        <f>B136</f>
        <v>TAX CREDIT CALCULATION - BASIS METHOD</v>
      </c>
    </row>
    <row r="137" spans="1:24" s="329" customFormat="1" ht="15" customHeight="1" thickBot="1">
      <c r="B137" s="335" t="s">
        <v>2122</v>
      </c>
      <c r="D137" s="1800"/>
      <c r="E137" s="1800"/>
      <c r="I137" s="400"/>
      <c r="J137" s="1971"/>
      <c r="K137" s="1972"/>
      <c r="L137" s="1174"/>
      <c r="M137" s="1971"/>
      <c r="N137" s="1972"/>
      <c r="P137" s="1971"/>
      <c r="Q137" s="1972"/>
      <c r="W137" s="329" t="str">
        <f>B137</f>
        <v>Subtractions From Eligible Basis</v>
      </c>
      <c r="X137" s="371"/>
    </row>
    <row r="138" spans="1:24" s="329" customFormat="1" ht="6" customHeight="1">
      <c r="D138" s="1783"/>
      <c r="E138" s="1783"/>
      <c r="I138" s="393"/>
      <c r="J138" s="393"/>
      <c r="K138" s="399"/>
      <c r="L138" s="334"/>
      <c r="P138" s="1793"/>
    </row>
    <row r="139" spans="1:24" s="329" customFormat="1" ht="13.9" customHeight="1">
      <c r="B139" s="1783" t="s">
        <v>146</v>
      </c>
      <c r="D139" s="1793"/>
      <c r="E139" s="1793"/>
      <c r="F139" s="1793"/>
      <c r="G139" s="1793"/>
      <c r="H139" s="1793"/>
      <c r="I139" s="400"/>
      <c r="J139" s="2752"/>
      <c r="K139" s="2753"/>
      <c r="P139" s="2752"/>
      <c r="Q139" s="2753"/>
      <c r="V139" s="2718"/>
      <c r="W139" s="2743"/>
      <c r="X139" s="2744"/>
    </row>
    <row r="140" spans="1:24" s="329" customFormat="1" ht="13.9" customHeight="1">
      <c r="B140" s="1793" t="s">
        <v>2230</v>
      </c>
      <c r="D140" s="1793"/>
      <c r="E140" s="1793"/>
      <c r="F140" s="1793"/>
      <c r="G140" s="1793"/>
      <c r="H140" s="1793"/>
      <c r="I140" s="400"/>
      <c r="J140" s="2752"/>
      <c r="K140" s="2753"/>
      <c r="P140" s="2752"/>
      <c r="Q140" s="2753"/>
      <c r="V140" s="2718"/>
      <c r="W140" s="2745"/>
      <c r="X140" s="2746"/>
    </row>
    <row r="141" spans="1:24" s="329" customFormat="1" ht="13.9" customHeight="1">
      <c r="B141" s="1793" t="s">
        <v>1933</v>
      </c>
      <c r="D141" s="1793"/>
      <c r="E141" s="1793"/>
      <c r="I141" s="400"/>
      <c r="J141" s="2752"/>
      <c r="K141" s="2753"/>
      <c r="P141" s="2752"/>
      <c r="Q141" s="2753"/>
      <c r="V141" s="2718"/>
      <c r="W141" s="2745"/>
      <c r="X141" s="2746"/>
    </row>
    <row r="142" spans="1:24" s="329" customFormat="1" ht="13.9" customHeight="1">
      <c r="B142" s="1793" t="s">
        <v>1934</v>
      </c>
      <c r="D142" s="1793"/>
      <c r="E142" s="1793"/>
      <c r="I142" s="400"/>
      <c r="J142" s="2752"/>
      <c r="K142" s="2753"/>
      <c r="P142" s="2752"/>
      <c r="Q142" s="2753"/>
      <c r="V142" s="2718"/>
      <c r="W142" s="2745"/>
      <c r="X142" s="2746"/>
    </row>
    <row r="143" spans="1:24" s="329" customFormat="1" ht="13.9" customHeight="1">
      <c r="B143" s="1793" t="s">
        <v>265</v>
      </c>
      <c r="D143" s="1793"/>
      <c r="E143" s="1793"/>
      <c r="I143" s="400"/>
      <c r="J143" s="2752"/>
      <c r="K143" s="2753"/>
      <c r="P143" s="2752"/>
      <c r="Q143" s="2753"/>
      <c r="V143" s="2718"/>
      <c r="W143" s="2745"/>
      <c r="X143" s="2746"/>
    </row>
    <row r="144" spans="1:24" s="329" customFormat="1" ht="13.9" customHeight="1" thickBot="1">
      <c r="B144" s="1793" t="s">
        <v>1659</v>
      </c>
      <c r="C144" s="2480" t="s">
        <v>2500</v>
      </c>
      <c r="D144" s="2480"/>
      <c r="E144" s="2480"/>
      <c r="F144" s="2480"/>
      <c r="G144" s="2480"/>
      <c r="H144" s="2480"/>
      <c r="I144" s="2481"/>
      <c r="J144" s="2752"/>
      <c r="K144" s="2753"/>
      <c r="P144" s="2752"/>
      <c r="Q144" s="2753"/>
      <c r="V144" s="2718"/>
      <c r="W144" s="2745"/>
      <c r="X144" s="2746"/>
    </row>
    <row r="145" spans="1:24" s="329" customFormat="1" ht="13.9" customHeight="1" thickBot="1">
      <c r="B145" s="340" t="s">
        <v>1935</v>
      </c>
      <c r="C145" s="343"/>
      <c r="J145" s="1924">
        <f>SUM(J139:K144)</f>
        <v>0</v>
      </c>
      <c r="K145" s="1925"/>
      <c r="P145" s="1924">
        <f>SUM(P139:Q144)</f>
        <v>0</v>
      </c>
      <c r="Q145" s="1925"/>
      <c r="V145" s="2726">
        <f>SUM(V139:V144)</f>
        <v>0</v>
      </c>
      <c r="W145" s="2748"/>
      <c r="X145" s="2749"/>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2027">
        <f>J131</f>
        <v>0</v>
      </c>
      <c r="K148" s="2028"/>
      <c r="M148" s="2029">
        <f>M131</f>
        <v>1300000</v>
      </c>
      <c r="N148" s="2030"/>
      <c r="P148" s="2027">
        <f>P131</f>
        <v>20205163.399999999</v>
      </c>
      <c r="Q148" s="2028"/>
      <c r="V148" s="2718"/>
      <c r="W148" s="2743"/>
      <c r="X148" s="2744"/>
    </row>
    <row r="149" spans="1:24" s="329" customFormat="1" ht="13.9" customHeight="1">
      <c r="B149" s="329" t="s">
        <v>2299</v>
      </c>
      <c r="J149" s="1975">
        <f>J145</f>
        <v>0</v>
      </c>
      <c r="K149" s="1976"/>
      <c r="M149" s="1979"/>
      <c r="N149" s="1979"/>
      <c r="P149" s="1975">
        <f>P145</f>
        <v>0</v>
      </c>
      <c r="Q149" s="1976"/>
      <c r="V149" s="2718"/>
      <c r="W149" s="2745"/>
      <c r="X149" s="2746"/>
    </row>
    <row r="150" spans="1:24" s="329" customFormat="1" ht="13.9" customHeight="1">
      <c r="B150" s="329" t="s">
        <v>2300</v>
      </c>
      <c r="J150" s="1975">
        <f>J148-J149</f>
        <v>0</v>
      </c>
      <c r="K150" s="1976"/>
      <c r="M150" s="1975">
        <f>M148</f>
        <v>1300000</v>
      </c>
      <c r="N150" s="1976"/>
      <c r="P150" s="1975">
        <f>P148-P149</f>
        <v>20205163.399999999</v>
      </c>
      <c r="Q150" s="1976"/>
      <c r="V150" s="2718"/>
      <c r="W150" s="2745"/>
      <c r="X150" s="2746"/>
    </row>
    <row r="151" spans="1:24" s="329" customFormat="1" ht="13.9" customHeight="1">
      <c r="B151" s="329" t="s">
        <v>1542</v>
      </c>
      <c r="G151" s="1784" t="s">
        <v>1778</v>
      </c>
      <c r="H151" s="2470" t="s">
        <v>4293</v>
      </c>
      <c r="I151" s="2471"/>
      <c r="J151" s="2754"/>
      <c r="K151" s="2755"/>
      <c r="M151" s="2026"/>
      <c r="N151" s="2026"/>
      <c r="P151" s="2754">
        <v>1.3</v>
      </c>
      <c r="Q151" s="2755"/>
      <c r="V151" s="2718"/>
      <c r="W151" s="2745"/>
      <c r="X151" s="2746"/>
    </row>
    <row r="152" spans="1:24" s="329" customFormat="1" ht="13.9" customHeight="1">
      <c r="B152" s="329" t="s">
        <v>2132</v>
      </c>
      <c r="J152" s="1975">
        <f>J150*J151</f>
        <v>0</v>
      </c>
      <c r="K152" s="1976"/>
      <c r="M152" s="1975">
        <f>+M150</f>
        <v>1300000</v>
      </c>
      <c r="N152" s="1976"/>
      <c r="P152" s="1975">
        <f>P150*P151</f>
        <v>26266712.419999998</v>
      </c>
      <c r="Q152" s="1976"/>
      <c r="V152" s="2718"/>
      <c r="W152" s="2745"/>
      <c r="X152" s="2746"/>
    </row>
    <row r="153" spans="1:24" s="329" customFormat="1" ht="13.9" customHeight="1">
      <c r="B153" s="329" t="s">
        <v>2629</v>
      </c>
      <c r="J153" s="1977">
        <f>MIN('Part VI-Revenues &amp; Expenses'!$O$58/'Part VI-Revenues &amp; Expenses'!$O$60,'Part VI-Revenues &amp; Expenses'!$O$115/'Part VI-Revenues &amp; Expenses'!$O$117)</f>
        <v>1</v>
      </c>
      <c r="K153" s="1978"/>
      <c r="M153" s="1977">
        <f>MIN('Part VI-Revenues &amp; Expenses'!$O$58/'Part VI-Revenues &amp; Expenses'!$O$60,'Part VI-Revenues &amp; Expenses'!$O$115/'Part VI-Revenues &amp; Expenses'!$O$117)</f>
        <v>1</v>
      </c>
      <c r="N153" s="1978"/>
      <c r="P153" s="1977">
        <f>MIN('Part VI-Revenues &amp; Expenses'!$O$58/'Part VI-Revenues &amp; Expenses'!$O$60,'Part VI-Revenues &amp; Expenses'!$O$115/'Part VI-Revenues &amp; Expenses'!$O$117)</f>
        <v>1</v>
      </c>
      <c r="Q153" s="1978"/>
      <c r="V153" s="2718"/>
      <c r="W153" s="2745"/>
      <c r="X153" s="2746"/>
    </row>
    <row r="154" spans="1:24" s="329" customFormat="1" ht="13.9" customHeight="1">
      <c r="B154" s="329" t="s">
        <v>2123</v>
      </c>
      <c r="J154" s="1975">
        <f>J152*J153</f>
        <v>0</v>
      </c>
      <c r="K154" s="1976"/>
      <c r="M154" s="1975">
        <f>M152*M153</f>
        <v>1300000</v>
      </c>
      <c r="N154" s="1976"/>
      <c r="P154" s="1975">
        <f>P152*P153</f>
        <v>26266712.419999998</v>
      </c>
      <c r="Q154" s="1976"/>
      <c r="V154" s="2718"/>
      <c r="W154" s="2745"/>
      <c r="X154" s="2746"/>
    </row>
    <row r="155" spans="1:24" s="329" customFormat="1" ht="13.9" customHeight="1">
      <c r="B155" s="329" t="s">
        <v>2124</v>
      </c>
      <c r="J155" s="2754"/>
      <c r="K155" s="2755"/>
      <c r="M155" s="2754">
        <v>3.2300000000000002E-2</v>
      </c>
      <c r="N155" s="2755"/>
      <c r="P155" s="2754">
        <v>3.2300000000000002E-2</v>
      </c>
      <c r="Q155" s="2755"/>
      <c r="V155" s="2718"/>
      <c r="W155" s="2745"/>
      <c r="X155" s="2746"/>
    </row>
    <row r="156" spans="1:24" s="329" customFormat="1" ht="13.9" customHeight="1" thickBot="1">
      <c r="B156" s="329" t="s">
        <v>2630</v>
      </c>
      <c r="J156" s="2024">
        <f>J154*J155</f>
        <v>0</v>
      </c>
      <c r="K156" s="2025"/>
      <c r="M156" s="2024">
        <f>M154*M155</f>
        <v>41990</v>
      </c>
      <c r="N156" s="2025"/>
      <c r="P156" s="2024">
        <f>P154*P155</f>
        <v>848414.81116599997</v>
      </c>
      <c r="Q156" s="2025"/>
      <c r="V156" s="2756"/>
      <c r="W156" s="2745"/>
      <c r="X156" s="2746"/>
    </row>
    <row r="157" spans="1:24" s="329" customFormat="1" ht="13.9" customHeight="1" thickBot="1">
      <c r="B157" s="331" t="s">
        <v>1478</v>
      </c>
      <c r="J157" s="1924">
        <f>J156+M156+P156</f>
        <v>890404.81116599997</v>
      </c>
      <c r="K157" s="2002"/>
      <c r="L157" s="2002"/>
      <c r="M157" s="2002"/>
      <c r="N157" s="2002"/>
      <c r="O157" s="2002"/>
      <c r="P157" s="2002"/>
      <c r="Q157" s="1925"/>
      <c r="V157" s="2718"/>
      <c r="W157" s="2748"/>
      <c r="X157" s="2749"/>
    </row>
    <row r="158" spans="1:24" s="329" customFormat="1" ht="6" customHeight="1">
      <c r="B158" s="401"/>
      <c r="L158" s="402"/>
      <c r="M158" s="402"/>
      <c r="N158" s="402"/>
      <c r="O158" s="402"/>
    </row>
    <row r="159" spans="1:24" s="329" customFormat="1" ht="13.9" customHeight="1">
      <c r="A159" s="475" t="s">
        <v>772</v>
      </c>
      <c r="B159" s="475" t="s">
        <v>1481</v>
      </c>
      <c r="H159" s="393"/>
      <c r="I159" s="393"/>
      <c r="L159" s="1793"/>
      <c r="M159" s="541"/>
      <c r="N159" s="1793"/>
      <c r="O159" s="1793"/>
      <c r="P159" s="1793"/>
      <c r="Q159" s="1793"/>
      <c r="R159" s="1793"/>
      <c r="S159" s="1793"/>
      <c r="T159" s="1793"/>
    </row>
    <row r="160" spans="1:24" s="329" customFormat="1" ht="15" customHeight="1" thickBot="1">
      <c r="B160" s="331" t="s">
        <v>179</v>
      </c>
      <c r="H160" s="297"/>
      <c r="M160" s="541"/>
      <c r="N160" s="1793"/>
      <c r="O160" s="1793"/>
      <c r="P160" s="1793"/>
      <c r="Q160" s="1793"/>
      <c r="R160" s="1793"/>
      <c r="S160" s="1793"/>
      <c r="T160" s="1793"/>
      <c r="W160" s="475" t="str">
        <f>B159</f>
        <v>TAX CREDIT CALCULATION - GAP METHOD</v>
      </c>
    </row>
    <row r="161" spans="1:24" s="329" customFormat="1" ht="15" customHeight="1">
      <c r="B161" s="322" t="s">
        <v>2887</v>
      </c>
      <c r="G161" s="2013" t="str">
        <f ca="1">IF(J162&gt;J161,"TDC exceeds QAP PUCL!","")</f>
        <v/>
      </c>
      <c r="H161" s="2013"/>
      <c r="I161" s="2014"/>
      <c r="J161" s="2015">
        <f>'Part VIII-Threshold Criteria'!$P$65</f>
        <v>32271408</v>
      </c>
      <c r="K161" s="2016"/>
      <c r="L161" s="2017"/>
      <c r="M161" s="2007" t="s">
        <v>2862</v>
      </c>
      <c r="N161" s="2008"/>
      <c r="O161" s="2008"/>
      <c r="P161" s="2008"/>
      <c r="Q161" s="2008"/>
      <c r="R161" s="2009"/>
      <c r="S161" s="2007" t="s">
        <v>4117</v>
      </c>
      <c r="T161" s="2009"/>
      <c r="V161" s="2718"/>
      <c r="W161" s="2743"/>
      <c r="X161" s="2744"/>
    </row>
    <row r="162" spans="1:24" s="329" customFormat="1" ht="13.9" customHeight="1">
      <c r="B162" s="329" t="s">
        <v>2864</v>
      </c>
      <c r="J162" s="2757">
        <f ca="1">MIN(G131,J161,(G131-O164))</f>
        <v>25231313.324578471</v>
      </c>
      <c r="K162" s="2758"/>
      <c r="L162" s="2759"/>
      <c r="M162" s="2010"/>
      <c r="N162" s="2011"/>
      <c r="O162" s="2011"/>
      <c r="P162" s="2011"/>
      <c r="Q162" s="2011"/>
      <c r="R162" s="2012"/>
      <c r="S162" s="2010"/>
      <c r="T162" s="2012"/>
      <c r="V162" s="2718"/>
      <c r="W162" s="2745"/>
      <c r="X162" s="2746"/>
    </row>
    <row r="163" spans="1:24" s="329" customFormat="1" ht="13.9" customHeight="1">
      <c r="B163" s="329" t="s">
        <v>275</v>
      </c>
      <c r="J163" s="1975">
        <f>'Part III-Sources of Funds'!$I$54-'Part III-Sources of Funds'!$I$41-'Part III-Sources of Funds'!$I$42-'Part III-Sources of Funds'!$I$45-'Part III-Sources of Funds'!$I$46</f>
        <v>11500000</v>
      </c>
      <c r="K163" s="1979"/>
      <c r="L163" s="2018"/>
      <c r="M163" s="2010"/>
      <c r="N163" s="2011"/>
      <c r="O163" s="2011"/>
      <c r="P163" s="2011"/>
      <c r="Q163" s="2011"/>
      <c r="R163" s="2012"/>
      <c r="S163" s="2010"/>
      <c r="T163" s="2012"/>
      <c r="V163" s="2718"/>
      <c r="W163" s="2745"/>
      <c r="X163" s="2746"/>
    </row>
    <row r="164" spans="1:24" s="329" customFormat="1" ht="13.9" customHeight="1" thickBot="1">
      <c r="B164" s="329" t="s">
        <v>2311</v>
      </c>
      <c r="J164" s="1975">
        <f ca="1">+J162-J163</f>
        <v>13731313.324578471</v>
      </c>
      <c r="K164" s="1979"/>
      <c r="L164" s="2018"/>
      <c r="M164" s="2035" t="s">
        <v>2863</v>
      </c>
      <c r="N164" s="2036"/>
      <c r="O164" s="2019">
        <f>'Part III-Sources of Funds'!$I$41</f>
        <v>0</v>
      </c>
      <c r="P164" s="2019"/>
      <c r="Q164" s="2019"/>
      <c r="R164" s="2020"/>
      <c r="S164" s="459" t="s">
        <v>1721</v>
      </c>
      <c r="T164" s="2760"/>
      <c r="V164" s="2718"/>
      <c r="W164" s="2745"/>
      <c r="X164" s="2746"/>
    </row>
    <row r="165" spans="1:24" s="329" customFormat="1" ht="13.9" customHeight="1">
      <c r="B165" s="329" t="s">
        <v>1335</v>
      </c>
      <c r="J165" s="2031" t="str">
        <f>"/ 10"</f>
        <v>/ 10</v>
      </c>
      <c r="K165" s="2031"/>
      <c r="L165" s="2031"/>
      <c r="M165" s="1793"/>
      <c r="N165" s="538"/>
      <c r="O165" s="538"/>
      <c r="P165" s="538"/>
      <c r="Q165" s="538"/>
      <c r="R165" s="538"/>
      <c r="W165" s="2745"/>
      <c r="X165" s="2746"/>
    </row>
    <row r="166" spans="1:24" s="329" customFormat="1" ht="13.9" customHeight="1">
      <c r="B166" s="329" t="s">
        <v>1336</v>
      </c>
      <c r="J166" s="1975">
        <f ca="1">J164/10</f>
        <v>1373131.3324578472</v>
      </c>
      <c r="K166" s="1979"/>
      <c r="L166" s="1976"/>
      <c r="M166" s="348"/>
      <c r="N166" s="1849" t="s">
        <v>1337</v>
      </c>
      <c r="O166" s="1849"/>
      <c r="Q166" s="1849" t="s">
        <v>1865</v>
      </c>
      <c r="R166" s="1849"/>
      <c r="V166" s="2718"/>
      <c r="W166" s="2745"/>
      <c r="X166" s="2746"/>
    </row>
    <row r="167" spans="1:24" s="329" customFormat="1" ht="13.9" customHeight="1" thickBot="1">
      <c r="B167" s="329" t="s">
        <v>1541</v>
      </c>
      <c r="J167" s="2021">
        <f>N167+Q167</f>
        <v>1.55</v>
      </c>
      <c r="K167" s="2022"/>
      <c r="L167" s="2023"/>
      <c r="M167" s="1784" t="s">
        <v>1338</v>
      </c>
      <c r="N167" s="2761">
        <v>1</v>
      </c>
      <c r="O167" s="2762"/>
      <c r="P167" s="1784" t="s">
        <v>636</v>
      </c>
      <c r="Q167" s="2761">
        <v>0.55000000000000004</v>
      </c>
      <c r="R167" s="2762"/>
      <c r="V167" s="2718"/>
      <c r="W167" s="2745"/>
      <c r="X167" s="2746"/>
    </row>
    <row r="168" spans="1:24" s="329" customFormat="1" ht="13.9" customHeight="1" thickBot="1">
      <c r="B168" s="331" t="s">
        <v>1479</v>
      </c>
      <c r="J168" s="1924">
        <f ca="1">IF(J167=0,"",J166/J167)</f>
        <v>885891.18223086908</v>
      </c>
      <c r="K168" s="2002"/>
      <c r="L168" s="1925"/>
      <c r="M168" s="348"/>
      <c r="N168" s="1793"/>
      <c r="O168" s="1793"/>
      <c r="V168" s="2718"/>
      <c r="W168" s="2745"/>
      <c r="X168" s="2746"/>
    </row>
    <row r="169" spans="1:24" s="329" customFormat="1" ht="6" customHeight="1">
      <c r="J169" s="403"/>
      <c r="K169" s="403"/>
      <c r="L169" s="403"/>
      <c r="M169" s="348"/>
      <c r="N169" s="1790"/>
      <c r="O169" s="1790"/>
      <c r="W169" s="2745"/>
      <c r="X169" s="2746"/>
    </row>
    <row r="170" spans="1:24" s="329" customFormat="1" ht="16.149999999999999" customHeight="1">
      <c r="B170" s="331" t="s">
        <v>3045</v>
      </c>
      <c r="J170" s="2032">
        <f ca="1">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885891.18223086908</v>
      </c>
      <c r="K170" s="2033"/>
      <c r="L170" s="2034"/>
      <c r="M170" s="348"/>
      <c r="N170" s="1790"/>
      <c r="O170" s="1790"/>
      <c r="V170" s="2718"/>
      <c r="W170" s="2745"/>
      <c r="X170" s="2746"/>
    </row>
    <row r="171" spans="1:24" s="329" customFormat="1" ht="3" customHeight="1">
      <c r="J171" s="403"/>
      <c r="K171" s="403"/>
      <c r="L171" s="403"/>
      <c r="M171" s="348"/>
      <c r="N171" s="1790"/>
      <c r="O171" s="1790"/>
      <c r="W171" s="2745"/>
      <c r="X171" s="2746"/>
    </row>
    <row r="172" spans="1:24" s="329" customFormat="1" ht="16.149999999999999" customHeight="1">
      <c r="B172" s="331" t="s">
        <v>362</v>
      </c>
      <c r="J172" s="2763">
        <f ca="1">J170</f>
        <v>885891.18223086908</v>
      </c>
      <c r="K172" s="2764"/>
      <c r="L172" s="2765"/>
      <c r="M172" s="404" t="str">
        <f ca="1">IF(J170=0,"",IF(J172&gt;J170,"ALLOCATION CANNOT EXCEED MAXIMUM - REVISE REQUEST!",""))</f>
        <v/>
      </c>
      <c r="N172" s="1790"/>
      <c r="O172" s="1790"/>
      <c r="V172" s="2718"/>
      <c r="W172" s="2745"/>
      <c r="X172" s="2746"/>
    </row>
    <row r="173" spans="1:24" s="329" customFormat="1" ht="3" customHeight="1">
      <c r="J173" s="403"/>
      <c r="K173" s="403"/>
      <c r="L173" s="403"/>
      <c r="M173" s="348"/>
      <c r="N173" s="1790"/>
      <c r="O173" s="1790"/>
      <c r="W173" s="2745"/>
      <c r="X173" s="2746"/>
    </row>
    <row r="174" spans="1:24" s="329" customFormat="1" ht="16.149999999999999" customHeight="1">
      <c r="A174" s="475" t="s">
        <v>1858</v>
      </c>
      <c r="B174" s="475" t="s">
        <v>2708</v>
      </c>
      <c r="D174" s="348"/>
      <c r="E174" s="348"/>
      <c r="F174" s="334"/>
      <c r="J174" s="2004">
        <f ca="1">IF(J172="",0,+MIN(J170,J172))</f>
        <v>885891.18223086908</v>
      </c>
      <c r="K174" s="2005"/>
      <c r="L174" s="2006"/>
      <c r="N174" s="2766"/>
      <c r="O174" s="2766"/>
      <c r="P174" s="2766"/>
      <c r="Q174" s="2766"/>
      <c r="R174" s="2766"/>
      <c r="S174" s="2766"/>
      <c r="T174" s="2766"/>
      <c r="V174" s="2718"/>
      <c r="W174" s="2748"/>
      <c r="X174" s="2749"/>
    </row>
    <row r="175" spans="1:24" ht="3" customHeight="1"/>
    <row r="176" spans="1:24" ht="6" customHeight="1"/>
    <row r="177" spans="1:24" ht="12" customHeight="1">
      <c r="A177" s="331" t="s">
        <v>1860</v>
      </c>
      <c r="B177" s="357" t="s">
        <v>593</v>
      </c>
      <c r="K177" s="331" t="s">
        <v>549</v>
      </c>
      <c r="L177" s="331" t="s">
        <v>81</v>
      </c>
    </row>
    <row r="178" spans="1:24" ht="201" customHeight="1">
      <c r="A178" s="2767" t="s">
        <v>4359</v>
      </c>
      <c r="B178" s="2768"/>
      <c r="C178" s="2768"/>
      <c r="D178" s="2768"/>
      <c r="E178" s="2768"/>
      <c r="F178" s="2768"/>
      <c r="G178" s="2768"/>
      <c r="H178" s="2768"/>
      <c r="I178" s="2768"/>
      <c r="J178" s="2769"/>
      <c r="K178" s="2770"/>
      <c r="L178" s="2771"/>
      <c r="M178" s="2771"/>
      <c r="N178" s="2771"/>
      <c r="O178" s="2771"/>
      <c r="P178" s="2771"/>
      <c r="Q178" s="2771"/>
      <c r="R178" s="2771"/>
      <c r="S178" s="2771"/>
      <c r="T178" s="2772"/>
      <c r="W178" s="1936" t="s">
        <v>2796</v>
      </c>
      <c r="X178" s="1936"/>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5"/>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AKuFgauly42vh6kAgx1iiM5WDG9f+sYV4C/CRRasW9FRB1DLN2kHvMzk8Q/ed4X/2WH60V9EWnmW2AQXBolcIg==" saltValue="2KHRKSx0RuHpKUOXojcGYQ=="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B61" zoomScale="110" zoomScaleNormal="110" zoomScaleSheetLayoutView="70" workbookViewId="0">
      <selection activeCell="B61" sqref="A1:XFD1048576"/>
    </sheetView>
  </sheetViews>
  <sheetFormatPr defaultRowHeight="12.75"/>
  <cols>
    <col min="1" max="1" width="10.7109375" style="2773" customWidth="1"/>
    <col min="2" max="2" width="13" style="2773" customWidth="1"/>
    <col min="3" max="3" width="11.140625" style="2773" customWidth="1"/>
    <col min="4" max="4" width="13" style="2773" customWidth="1"/>
    <col min="5" max="5" width="0.7109375" style="2773" customWidth="1"/>
    <col min="6" max="6" width="42.5703125" style="2773" customWidth="1"/>
    <col min="7" max="7" width="0.85546875" style="2773" customWidth="1"/>
    <col min="8" max="8" width="42.5703125" style="2773" customWidth="1"/>
    <col min="9" max="16384" width="9.140625" style="2773"/>
  </cols>
  <sheetData>
    <row r="1" spans="1:14" ht="15.75">
      <c r="A1" s="2047" t="str">
        <f>CONCATENATE("PART FOUR (b) -  OTHER COSTS","  -  ",'Part I-Project Information'!$O$4," - ",'Part I-Project Information'!$F$24,"  -  ",'Part I-Project Information'!$F$28,"  -  ",'Part I-Project Information'!$J$29,",  ","County")</f>
        <v>PART FOUR (b) -  OTHER COSTS  -  2016-524 - Wheat Street Tower  -  Atlanta  -  Fulton,  County</v>
      </c>
      <c r="B1" s="2048"/>
      <c r="C1" s="2048"/>
      <c r="D1" s="2048"/>
      <c r="E1" s="2048"/>
      <c r="F1" s="2048"/>
      <c r="G1" s="2048"/>
      <c r="H1" s="2048"/>
      <c r="I1" s="1352"/>
      <c r="J1" s="1352"/>
      <c r="K1" s="1352"/>
      <c r="L1" s="1352"/>
      <c r="M1" s="1352"/>
      <c r="N1" s="1352"/>
    </row>
    <row r="2" spans="1:14" ht="9" customHeight="1"/>
    <row r="3" spans="1:14" ht="57" customHeight="1">
      <c r="A3" s="2774" t="s">
        <v>4204</v>
      </c>
      <c r="B3" s="2775"/>
      <c r="C3" s="2775"/>
      <c r="D3" s="2775"/>
      <c r="E3" s="2775"/>
      <c r="F3" s="2775"/>
      <c r="G3" s="2775"/>
      <c r="H3" s="2776"/>
    </row>
    <row r="4" spans="1:14" ht="6" customHeight="1"/>
    <row r="5" spans="1:14" ht="27" customHeight="1">
      <c r="A5" s="2049" t="s">
        <v>4190</v>
      </c>
      <c r="B5" s="2049"/>
      <c r="C5" s="2049"/>
      <c r="D5" s="2049"/>
      <c r="F5" s="1353" t="s">
        <v>4191</v>
      </c>
      <c r="G5" s="706"/>
      <c r="H5" s="1353" t="s">
        <v>4192</v>
      </c>
    </row>
    <row r="6" spans="1:14" ht="6.75" customHeight="1">
      <c r="A6" s="706"/>
      <c r="B6" s="706"/>
      <c r="C6" s="706"/>
      <c r="D6" s="706"/>
    </row>
    <row r="7" spans="1:14" s="2777" customFormat="1" ht="4.5" customHeight="1">
      <c r="A7" s="1354"/>
      <c r="B7" s="1354"/>
      <c r="C7" s="1354"/>
      <c r="D7" s="1354"/>
      <c r="E7" s="1354"/>
      <c r="F7" s="1354"/>
      <c r="G7" s="1354"/>
    </row>
    <row r="8" spans="1:14" s="2777" customFormat="1">
      <c r="A8" s="1364" t="s">
        <v>104</v>
      </c>
      <c r="B8" s="1355"/>
      <c r="C8" s="1355"/>
      <c r="D8" s="1355"/>
      <c r="E8" s="1355"/>
      <c r="F8" s="1355"/>
      <c r="G8" s="1355"/>
    </row>
    <row r="9" spans="1:14" s="2777" customFormat="1" ht="41.25" customHeight="1">
      <c r="A9" s="2044" t="str">
        <f>'Part IV-Uses of Funds'!$C$14</f>
        <v>Termite Inspection</v>
      </c>
      <c r="B9" s="2045"/>
      <c r="C9" s="2045"/>
      <c r="D9" s="2046"/>
      <c r="F9" s="2778" t="s">
        <v>4338</v>
      </c>
      <c r="G9" s="1355"/>
      <c r="H9" s="2778" t="s">
        <v>4341</v>
      </c>
    </row>
    <row r="10" spans="1:14" s="2777" customFormat="1" ht="41.25" customHeight="1">
      <c r="A10" s="2041"/>
      <c r="B10" s="2042"/>
      <c r="C10" s="2042"/>
      <c r="D10" s="2043"/>
      <c r="F10" s="2779"/>
      <c r="G10" s="1355"/>
      <c r="H10" s="2779"/>
    </row>
    <row r="11" spans="1:14" s="2777" customFormat="1" ht="4.5" customHeight="1">
      <c r="F11" s="2779"/>
      <c r="G11" s="1355"/>
      <c r="H11" s="2779"/>
    </row>
    <row r="12" spans="1:14" s="2777" customFormat="1" ht="15" customHeight="1">
      <c r="A12" s="1363" t="s">
        <v>4195</v>
      </c>
      <c r="B12" s="1362">
        <f>'Part IV-Uses of Funds'!$G$14</f>
        <v>3000</v>
      </c>
      <c r="C12" s="1363" t="s">
        <v>1856</v>
      </c>
      <c r="D12" s="1362">
        <f>'Part IV-Uses of Funds'!$J$14+'Part IV-Uses of Funds'!$M$14+'Part IV-Uses of Funds'!$P$14</f>
        <v>3000</v>
      </c>
      <c r="F12" s="2779"/>
      <c r="G12" s="1355"/>
      <c r="H12" s="2779"/>
    </row>
    <row r="13" spans="1:14" s="2777" customFormat="1" ht="6" customHeight="1">
      <c r="A13" s="1355"/>
      <c r="B13" s="1356"/>
      <c r="C13" s="1355"/>
      <c r="D13" s="1355"/>
      <c r="F13" s="2779"/>
      <c r="G13" s="1357"/>
      <c r="H13" s="2779"/>
    </row>
    <row r="14" spans="1:14" s="2777" customFormat="1" ht="41.25" customHeight="1">
      <c r="A14" s="2044" t="str">
        <f>'Part IV-Uses of Funds'!$C$15</f>
        <v>Physical Needs Assessment</v>
      </c>
      <c r="B14" s="2045"/>
      <c r="C14" s="2045"/>
      <c r="D14" s="2046"/>
      <c r="F14" s="2779" t="s">
        <v>4339</v>
      </c>
      <c r="G14" s="1355"/>
      <c r="H14" s="2779" t="s">
        <v>4340</v>
      </c>
    </row>
    <row r="15" spans="1:14" s="2777" customFormat="1" ht="41.25" customHeight="1">
      <c r="A15" s="2041"/>
      <c r="B15" s="2042"/>
      <c r="C15" s="2042"/>
      <c r="D15" s="2043"/>
      <c r="F15" s="2779"/>
      <c r="G15" s="1355"/>
      <c r="H15" s="2779"/>
    </row>
    <row r="16" spans="1:14" s="2777" customFormat="1" ht="4.5" customHeight="1">
      <c r="F16" s="2779"/>
      <c r="G16" s="1355"/>
      <c r="H16" s="2779"/>
    </row>
    <row r="17" spans="1:8" s="2777" customFormat="1" ht="15" customHeight="1">
      <c r="A17" s="1363" t="s">
        <v>4195</v>
      </c>
      <c r="B17" s="1362">
        <f>'Part IV-Uses of Funds'!$G$15</f>
        <v>4850</v>
      </c>
      <c r="C17" s="1363" t="s">
        <v>1856</v>
      </c>
      <c r="D17" s="1362">
        <f>'Part IV-Uses of Funds'!$J$15+'Part IV-Uses of Funds'!$M$15+'Part IV-Uses of Funds'!$P$15</f>
        <v>4850</v>
      </c>
      <c r="F17" s="2779"/>
      <c r="G17" s="1355"/>
      <c r="H17" s="2779"/>
    </row>
    <row r="18" spans="1:8" s="2777" customFormat="1" ht="6" customHeight="1">
      <c r="A18" s="1355"/>
      <c r="B18" s="1356"/>
      <c r="C18" s="1355"/>
      <c r="D18" s="1355"/>
      <c r="F18" s="2779"/>
      <c r="G18" s="1357"/>
      <c r="H18" s="2779"/>
    </row>
    <row r="19" spans="1:8" s="2777" customFormat="1" ht="41.25" customHeight="1">
      <c r="A19" s="2044" t="str">
        <f>'Part IV-Uses of Funds'!$C$16</f>
        <v>&lt;&lt; Enter description here; provide detail &amp; justification in tab Part IV-b &gt;&gt;</v>
      </c>
      <c r="B19" s="2045"/>
      <c r="C19" s="2045"/>
      <c r="D19" s="2046"/>
      <c r="F19" s="2779"/>
      <c r="G19" s="1355"/>
      <c r="H19" s="2779"/>
    </row>
    <row r="20" spans="1:8" s="2777" customFormat="1" ht="41.25" customHeight="1">
      <c r="A20" s="2041"/>
      <c r="B20" s="2042"/>
      <c r="C20" s="2042"/>
      <c r="D20" s="2043"/>
      <c r="F20" s="2779"/>
      <c r="G20" s="1355"/>
      <c r="H20" s="2779"/>
    </row>
    <row r="21" spans="1:8" s="2777" customFormat="1" ht="4.5" customHeight="1">
      <c r="F21" s="2779"/>
      <c r="G21" s="1355"/>
      <c r="H21" s="2779"/>
    </row>
    <row r="22" spans="1:8" s="2777" customFormat="1" ht="15" customHeight="1">
      <c r="A22" s="1363" t="s">
        <v>4195</v>
      </c>
      <c r="B22" s="1362">
        <f>'Part IV-Uses of Funds'!$G$16</f>
        <v>0</v>
      </c>
      <c r="C22" s="1363" t="s">
        <v>1856</v>
      </c>
      <c r="D22" s="1362">
        <f>'Part IV-Uses of Funds'!$J$16+'Part IV-Uses of Funds'!$M$16+'Part IV-Uses of Funds'!$P$16</f>
        <v>0</v>
      </c>
      <c r="F22" s="2779"/>
      <c r="G22" s="1355"/>
      <c r="H22" s="2779"/>
    </row>
    <row r="23" spans="1:8" s="2777" customFormat="1" ht="6" customHeight="1">
      <c r="A23" s="1355"/>
      <c r="B23" s="1356"/>
      <c r="C23" s="1355"/>
      <c r="D23" s="1355"/>
      <c r="F23" s="2780"/>
      <c r="G23" s="1357"/>
      <c r="H23" s="2780"/>
    </row>
    <row r="24" spans="1:8" s="2777" customFormat="1">
      <c r="A24" s="1364" t="s">
        <v>4194</v>
      </c>
      <c r="B24" s="1355"/>
      <c r="C24" s="1355"/>
      <c r="D24" s="1355"/>
      <c r="E24" s="1355"/>
      <c r="F24" s="1355"/>
      <c r="G24" s="1355"/>
    </row>
    <row r="25" spans="1:8" s="2777" customFormat="1" ht="41.25" customHeight="1">
      <c r="A25" s="2044" t="str">
        <f>'Part IV-Uses of Funds'!$C$41</f>
        <v>Payment &amp; Performance Bond/Builder's Risk</v>
      </c>
      <c r="B25" s="2045"/>
      <c r="C25" s="2045"/>
      <c r="D25" s="2046"/>
      <c r="E25" s="1355"/>
      <c r="F25" s="2781" t="s">
        <v>4342</v>
      </c>
      <c r="G25" s="1355"/>
      <c r="H25" s="2781" t="s">
        <v>4343</v>
      </c>
    </row>
    <row r="26" spans="1:8" s="2777" customFormat="1" ht="41.25" customHeight="1">
      <c r="A26" s="2041"/>
      <c r="B26" s="2042"/>
      <c r="C26" s="2042"/>
      <c r="D26" s="2043"/>
      <c r="E26" s="1355"/>
      <c r="F26" s="2782"/>
      <c r="G26" s="1355"/>
      <c r="H26" s="2782"/>
    </row>
    <row r="27" spans="1:8" s="2777" customFormat="1" ht="4.5" customHeight="1">
      <c r="A27" s="1355"/>
      <c r="B27" s="1355"/>
      <c r="C27" s="1355"/>
      <c r="D27" s="1355"/>
      <c r="E27" s="1355"/>
      <c r="F27" s="2782"/>
      <c r="G27" s="1355"/>
      <c r="H27" s="2782"/>
    </row>
    <row r="28" spans="1:8" s="2777" customFormat="1">
      <c r="A28" s="1363" t="s">
        <v>4195</v>
      </c>
      <c r="B28" s="1362">
        <f>'Part IV-Uses of Funds'!$G$41</f>
        <v>116000</v>
      </c>
      <c r="C28" s="1363" t="s">
        <v>1856</v>
      </c>
      <c r="D28" s="1362">
        <f>'Part IV-Uses of Funds'!$J$41+'Part IV-Uses of Funds'!$M$41+'Part IV-Uses of Funds'!$P$41</f>
        <v>116000</v>
      </c>
      <c r="E28" s="1355"/>
      <c r="F28" s="2782"/>
      <c r="G28" s="1355"/>
      <c r="H28" s="2782"/>
    </row>
    <row r="29" spans="1:8" s="2777" customFormat="1" ht="6" customHeight="1">
      <c r="A29" s="1355"/>
      <c r="B29" s="1356"/>
      <c r="C29" s="1355"/>
      <c r="D29" s="1355"/>
      <c r="E29" s="1355"/>
      <c r="F29" s="2783"/>
      <c r="G29" s="1357"/>
      <c r="H29" s="2783"/>
    </row>
    <row r="30" spans="1:8" s="2777" customFormat="1">
      <c r="A30" s="1364" t="s">
        <v>752</v>
      </c>
      <c r="B30" s="1355"/>
      <c r="C30" s="1355"/>
      <c r="D30" s="1355"/>
      <c r="E30" s="1355"/>
      <c r="F30" s="1355"/>
      <c r="G30" s="1355"/>
    </row>
    <row r="31" spans="1:8" s="2777" customFormat="1" ht="41.25" customHeight="1">
      <c r="A31" s="2038" t="str">
        <f>'Part IV-Uses of Funds'!$C$62</f>
        <v>Negative Arbitrage</v>
      </c>
      <c r="B31" s="2039"/>
      <c r="C31" s="2039"/>
      <c r="D31" s="2040"/>
      <c r="E31" s="1355"/>
      <c r="F31" s="2778" t="s">
        <v>4344</v>
      </c>
      <c r="G31" s="1355"/>
      <c r="H31" s="2778" t="s">
        <v>4345</v>
      </c>
    </row>
    <row r="32" spans="1:8" s="2777" customFormat="1" ht="41.25" customHeight="1">
      <c r="A32" s="2041"/>
      <c r="B32" s="2042"/>
      <c r="C32" s="2042"/>
      <c r="D32" s="2043"/>
      <c r="E32" s="1355"/>
      <c r="F32" s="2779"/>
      <c r="G32" s="1355"/>
      <c r="H32" s="2779"/>
    </row>
    <row r="33" spans="1:8" s="2777" customFormat="1" ht="4.5" customHeight="1">
      <c r="A33" s="1355"/>
      <c r="B33" s="1355"/>
      <c r="C33" s="1355"/>
      <c r="D33" s="1355"/>
      <c r="E33" s="1355"/>
      <c r="F33" s="2779"/>
      <c r="G33" s="1355"/>
      <c r="H33" s="2779"/>
    </row>
    <row r="34" spans="1:8" s="2777" customFormat="1" ht="14.25" customHeight="1">
      <c r="A34" s="1363" t="s">
        <v>4195</v>
      </c>
      <c r="B34" s="1362">
        <f>'Part IV-Uses of Funds'!$G$62</f>
        <v>402500</v>
      </c>
      <c r="C34" s="1363" t="s">
        <v>1856</v>
      </c>
      <c r="D34" s="1362">
        <f>'Part IV-Uses of Funds'!$J$62+'Part IV-Uses of Funds'!$M$62+'Part IV-Uses of Funds'!$P$62</f>
        <v>0</v>
      </c>
      <c r="E34" s="1355"/>
      <c r="F34" s="2779"/>
      <c r="G34" s="1355"/>
      <c r="H34" s="2779"/>
    </row>
    <row r="35" spans="1:8" s="2777" customFormat="1" ht="6" customHeight="1">
      <c r="D35" s="1355"/>
      <c r="E35" s="1355"/>
      <c r="F35" s="2779"/>
      <c r="G35" s="1357"/>
      <c r="H35" s="2779"/>
    </row>
    <row r="36" spans="1:8" s="2777" customFormat="1" ht="41.25" customHeight="1">
      <c r="A36" s="2038" t="str">
        <f>'Part IV-Uses of Funds'!$C$63</f>
        <v>&lt;&lt; Enter description here; provide detail &amp; justification in tab Part IV-b &gt;&gt;</v>
      </c>
      <c r="B36" s="2039"/>
      <c r="C36" s="2039"/>
      <c r="D36" s="2040"/>
      <c r="E36" s="1355"/>
      <c r="F36" s="2779"/>
      <c r="G36" s="1355"/>
      <c r="H36" s="2779"/>
    </row>
    <row r="37" spans="1:8" s="2777" customFormat="1" ht="41.25" customHeight="1">
      <c r="A37" s="2041"/>
      <c r="B37" s="2042"/>
      <c r="C37" s="2042"/>
      <c r="D37" s="2043"/>
      <c r="E37" s="1355"/>
      <c r="F37" s="2779"/>
      <c r="G37" s="1355"/>
      <c r="H37" s="2779"/>
    </row>
    <row r="38" spans="1:8" s="2777" customFormat="1" ht="4.5" customHeight="1">
      <c r="A38" s="1355"/>
      <c r="B38" s="1355"/>
      <c r="C38" s="1355"/>
      <c r="D38" s="1355"/>
      <c r="E38" s="1355"/>
      <c r="F38" s="2779"/>
      <c r="G38" s="1355"/>
      <c r="H38" s="2779"/>
    </row>
    <row r="39" spans="1:8" s="2777" customFormat="1" ht="14.25" customHeight="1">
      <c r="A39" s="1363" t="s">
        <v>4195</v>
      </c>
      <c r="B39" s="1362">
        <f>'Part IV-Uses of Funds'!$G$63</f>
        <v>0</v>
      </c>
      <c r="C39" s="1363" t="s">
        <v>1856</v>
      </c>
      <c r="D39" s="1362">
        <f>'Part IV-Uses of Funds'!$J$63+'Part IV-Uses of Funds'!$M$63+'Part IV-Uses of Funds'!$P$63</f>
        <v>0</v>
      </c>
      <c r="E39" s="1355"/>
      <c r="F39" s="2779"/>
      <c r="G39" s="1355"/>
      <c r="H39" s="2779"/>
    </row>
    <row r="40" spans="1:8" s="2777" customFormat="1" ht="6" customHeight="1">
      <c r="D40" s="1355"/>
      <c r="E40" s="1355"/>
      <c r="F40" s="2780"/>
      <c r="G40" s="1357"/>
      <c r="H40" s="2780"/>
    </row>
    <row r="41" spans="1:8" s="2777" customFormat="1">
      <c r="A41" s="1364" t="s">
        <v>493</v>
      </c>
      <c r="B41" s="1355"/>
      <c r="C41" s="1355"/>
      <c r="D41" s="1355"/>
      <c r="E41" s="1359"/>
      <c r="F41" s="1359"/>
      <c r="G41" s="1355"/>
    </row>
    <row r="42" spans="1:8" s="2777" customFormat="1" ht="41.25" customHeight="1">
      <c r="A42" s="2038" t="str">
        <f>'Part IV-Uses of Funds'!$C$76</f>
        <v>Asbestos Abatement</v>
      </c>
      <c r="B42" s="2039"/>
      <c r="C42" s="2039"/>
      <c r="D42" s="2040"/>
      <c r="F42" s="2781" t="s">
        <v>4346</v>
      </c>
      <c r="G42" s="1355"/>
      <c r="H42" s="2781" t="s">
        <v>4347</v>
      </c>
    </row>
    <row r="43" spans="1:8" s="2777" customFormat="1" ht="41.25" customHeight="1">
      <c r="A43" s="2041"/>
      <c r="B43" s="2042"/>
      <c r="C43" s="2042"/>
      <c r="D43" s="2043"/>
      <c r="E43" s="1355"/>
      <c r="F43" s="2782"/>
      <c r="G43" s="1355"/>
      <c r="H43" s="2782"/>
    </row>
    <row r="44" spans="1:8" s="2777" customFormat="1" ht="4.5" customHeight="1">
      <c r="A44" s="1355"/>
      <c r="B44" s="1355"/>
      <c r="C44" s="1355"/>
      <c r="D44" s="1355"/>
      <c r="E44" s="1355"/>
      <c r="F44" s="2782"/>
      <c r="G44" s="1355"/>
      <c r="H44" s="2782"/>
    </row>
    <row r="45" spans="1:8" s="2777" customFormat="1" ht="13.5" customHeight="1">
      <c r="A45" s="1363" t="s">
        <v>4195</v>
      </c>
      <c r="B45" s="1362">
        <f>'Part IV-Uses of Funds'!$G$76</f>
        <v>72500</v>
      </c>
      <c r="C45" s="1363" t="s">
        <v>1856</v>
      </c>
      <c r="D45" s="1362">
        <f>'Part IV-Uses of Funds'!$J$76+'Part IV-Uses of Funds'!$M$76+'Part IV-Uses of Funds'!$P$76</f>
        <v>72500</v>
      </c>
      <c r="E45" s="1355"/>
      <c r="F45" s="2782"/>
      <c r="G45" s="1355"/>
      <c r="H45" s="2782"/>
    </row>
    <row r="46" spans="1:8" s="2777" customFormat="1" ht="6" customHeight="1">
      <c r="A46" s="1355"/>
      <c r="B46" s="1356"/>
      <c r="C46" s="1355"/>
      <c r="D46" s="1355"/>
      <c r="E46" s="1355"/>
      <c r="F46" s="2783"/>
      <c r="G46" s="1357"/>
      <c r="H46" s="2783"/>
    </row>
    <row r="47" spans="1:8" s="2777" customFormat="1">
      <c r="A47" s="1364" t="s">
        <v>754</v>
      </c>
      <c r="B47" s="1355"/>
      <c r="C47" s="1355"/>
      <c r="D47" s="1355"/>
      <c r="E47" s="1355"/>
      <c r="F47" s="1355"/>
      <c r="G47" s="1355"/>
    </row>
    <row r="48" spans="1:8" s="2777" customFormat="1" ht="41.25" customHeight="1">
      <c r="A48" s="2038" t="str">
        <f>'Part IV-Uses of Funds'!$C$90</f>
        <v>&lt;&lt; Enter description here; provide detail &amp; justification in tab Part IV-b &gt;&gt;</v>
      </c>
      <c r="B48" s="2039"/>
      <c r="C48" s="2039"/>
      <c r="D48" s="2040"/>
      <c r="F48" s="2781"/>
      <c r="G48" s="1355"/>
    </row>
    <row r="49" spans="1:7" s="2777" customFormat="1" ht="41.25" customHeight="1">
      <c r="A49" s="2041"/>
      <c r="B49" s="2042"/>
      <c r="C49" s="2042"/>
      <c r="D49" s="2043"/>
      <c r="E49" s="1355"/>
      <c r="F49" s="2782"/>
      <c r="G49" s="1355"/>
    </row>
    <row r="50" spans="1:7" s="2777" customFormat="1" ht="4.5" customHeight="1">
      <c r="A50" s="1355"/>
      <c r="B50" s="1355"/>
      <c r="C50" s="1355"/>
      <c r="D50" s="1355"/>
      <c r="E50" s="1355"/>
      <c r="F50" s="2782"/>
      <c r="G50" s="1355"/>
    </row>
    <row r="51" spans="1:7" s="2777" customFormat="1" ht="13.5" customHeight="1">
      <c r="A51" s="1363" t="s">
        <v>4195</v>
      </c>
      <c r="B51" s="1362">
        <f>'Part IV-Uses of Funds'!$G$90</f>
        <v>0</v>
      </c>
      <c r="C51" s="1358"/>
      <c r="D51" s="1358"/>
      <c r="E51" s="1355"/>
      <c r="F51" s="2782"/>
      <c r="G51" s="1355"/>
    </row>
    <row r="52" spans="1:7" s="2777" customFormat="1" ht="6" customHeight="1">
      <c r="A52" s="1355"/>
      <c r="B52" s="1355"/>
      <c r="C52" s="1355"/>
      <c r="D52" s="1355"/>
      <c r="E52" s="1355"/>
      <c r="F52" s="2783"/>
      <c r="G52" s="1357"/>
    </row>
    <row r="53" spans="1:7" s="2777" customFormat="1">
      <c r="A53" s="1364" t="s">
        <v>4196</v>
      </c>
      <c r="B53" s="1355"/>
      <c r="C53" s="1355"/>
      <c r="D53" s="1355"/>
      <c r="E53" s="1355"/>
      <c r="F53" s="1355"/>
      <c r="G53" s="1355"/>
    </row>
    <row r="54" spans="1:7" s="2777" customFormat="1" ht="41.25" customHeight="1">
      <c r="A54" s="2038" t="str">
        <f>'Part IV-Uses of Funds'!$C$103</f>
        <v>&lt;&lt; Enter description here; provide detail &amp; justification in tab Part IV-b &gt;&gt;</v>
      </c>
      <c r="B54" s="2039"/>
      <c r="C54" s="2039"/>
      <c r="D54" s="2040"/>
      <c r="F54" s="2778"/>
      <c r="G54" s="1355"/>
    </row>
    <row r="55" spans="1:7" s="2777" customFormat="1" ht="41.25" customHeight="1">
      <c r="A55" s="2041"/>
      <c r="B55" s="2042"/>
      <c r="C55" s="2042"/>
      <c r="D55" s="2043"/>
      <c r="E55" s="1355"/>
      <c r="F55" s="2779"/>
      <c r="G55" s="1355"/>
    </row>
    <row r="56" spans="1:7" s="2777" customFormat="1" ht="4.5" customHeight="1">
      <c r="A56" s="1355"/>
      <c r="B56" s="1355"/>
      <c r="C56" s="1355"/>
      <c r="D56" s="1355"/>
      <c r="E56" s="1355"/>
      <c r="F56" s="2779"/>
      <c r="G56" s="1355"/>
    </row>
    <row r="57" spans="1:7" s="2777" customFormat="1">
      <c r="A57" s="1363" t="s">
        <v>4195</v>
      </c>
      <c r="B57" s="1362">
        <f>'Part IV-Uses of Funds'!$G$103</f>
        <v>0</v>
      </c>
      <c r="C57" s="1358"/>
      <c r="D57" s="1358"/>
      <c r="E57" s="1355"/>
      <c r="F57" s="2779"/>
      <c r="G57" s="1355"/>
    </row>
    <row r="58" spans="1:7" s="2777" customFormat="1" ht="6" customHeight="1">
      <c r="A58" s="1354"/>
      <c r="B58" s="1354"/>
      <c r="C58" s="1354"/>
      <c r="D58" s="1354"/>
      <c r="E58" s="1354"/>
      <c r="F58" s="2779"/>
      <c r="G58" s="1357"/>
    </row>
    <row r="59" spans="1:7" s="2777" customFormat="1" ht="41.25" customHeight="1">
      <c r="A59" s="2038" t="str">
        <f>'Part IV-Uses of Funds'!$C$104</f>
        <v>&lt;&lt; Enter description here; provide detail &amp; justification in tab Part IV-b &gt;&gt;</v>
      </c>
      <c r="B59" s="2039"/>
      <c r="C59" s="2039"/>
      <c r="D59" s="2040"/>
      <c r="F59" s="2779"/>
      <c r="G59" s="1355"/>
    </row>
    <row r="60" spans="1:7" s="2777" customFormat="1" ht="41.25" customHeight="1">
      <c r="A60" s="2041"/>
      <c r="B60" s="2042"/>
      <c r="C60" s="2042"/>
      <c r="D60" s="2043"/>
      <c r="E60" s="1355"/>
      <c r="F60" s="2779"/>
      <c r="G60" s="1355"/>
    </row>
    <row r="61" spans="1:7" s="2777" customFormat="1" ht="4.5" customHeight="1">
      <c r="A61" s="1355"/>
      <c r="B61" s="1355"/>
      <c r="C61" s="1355"/>
      <c r="D61" s="1355"/>
      <c r="E61" s="1355"/>
      <c r="F61" s="2779"/>
      <c r="G61" s="1355"/>
    </row>
    <row r="62" spans="1:7" s="2777" customFormat="1">
      <c r="A62" s="1358" t="s">
        <v>103</v>
      </c>
      <c r="B62" s="1362">
        <f>'Part IV-Uses of Funds'!$G$104</f>
        <v>0</v>
      </c>
      <c r="C62" s="1358"/>
      <c r="D62" s="1358"/>
      <c r="E62" s="1355"/>
      <c r="F62" s="2779"/>
      <c r="G62" s="1355"/>
    </row>
    <row r="63" spans="1:7" s="2777" customFormat="1" ht="6" customHeight="1">
      <c r="A63" s="1354"/>
      <c r="B63" s="1354"/>
      <c r="C63" s="1354"/>
      <c r="D63" s="1354"/>
      <c r="E63" s="1354"/>
      <c r="F63" s="2780"/>
      <c r="G63" s="1357"/>
    </row>
    <row r="64" spans="1:7" s="2777" customFormat="1">
      <c r="A64" s="1364" t="s">
        <v>4197</v>
      </c>
      <c r="B64" s="1355"/>
      <c r="C64" s="1355"/>
      <c r="D64" s="1355"/>
      <c r="E64" s="1355"/>
      <c r="F64" s="1355"/>
      <c r="G64" s="1355"/>
    </row>
    <row r="65" spans="1:8" s="2777" customFormat="1" ht="41.25" customHeight="1">
      <c r="A65" s="2038" t="str">
        <f>'Part IV-Uses of Funds'!$C$110</f>
        <v>Acquisition Credit Opinion</v>
      </c>
      <c r="B65" s="2039"/>
      <c r="C65" s="2039"/>
      <c r="D65" s="2040"/>
      <c r="F65" s="2781" t="s">
        <v>4348</v>
      </c>
      <c r="G65" s="1355"/>
    </row>
    <row r="66" spans="1:8" s="2777" customFormat="1" ht="41.25" customHeight="1">
      <c r="A66" s="2041"/>
      <c r="B66" s="2042"/>
      <c r="C66" s="2042"/>
      <c r="D66" s="2043"/>
      <c r="E66" s="1355"/>
      <c r="F66" s="2782"/>
      <c r="G66" s="1355"/>
    </row>
    <row r="67" spans="1:8" s="2777" customFormat="1" ht="4.5" customHeight="1">
      <c r="A67" s="1355"/>
      <c r="B67" s="1355"/>
      <c r="C67" s="1355"/>
      <c r="D67" s="1355"/>
      <c r="E67" s="1355"/>
      <c r="F67" s="2782"/>
      <c r="G67" s="1355"/>
    </row>
    <row r="68" spans="1:8" s="2777" customFormat="1">
      <c r="A68" s="1358" t="s">
        <v>103</v>
      </c>
      <c r="B68" s="1362">
        <f>'Part IV-Uses of Funds'!$G$110</f>
        <v>5000</v>
      </c>
      <c r="C68" s="1358"/>
      <c r="D68" s="1358"/>
      <c r="E68" s="1355"/>
      <c r="F68" s="2782"/>
      <c r="G68" s="1355"/>
    </row>
    <row r="69" spans="1:8" s="2777" customFormat="1" ht="6" customHeight="1">
      <c r="A69" s="1355"/>
      <c r="B69" s="1356"/>
      <c r="C69" s="1355"/>
      <c r="D69" s="1355"/>
      <c r="E69" s="1355"/>
      <c r="F69" s="2783"/>
      <c r="G69" s="1357"/>
    </row>
    <row r="70" spans="1:8" s="2777" customFormat="1">
      <c r="A70" s="1364" t="s">
        <v>1358</v>
      </c>
      <c r="B70" s="1355"/>
      <c r="C70" s="1355"/>
      <c r="D70" s="1355"/>
      <c r="E70" s="1355"/>
      <c r="F70" s="1355"/>
      <c r="G70" s="1355"/>
    </row>
    <row r="71" spans="1:8" s="2777" customFormat="1" ht="41.25" customHeight="1">
      <c r="A71" s="2038" t="str">
        <f>'Part IV-Uses of Funds'!$C$124</f>
        <v>Working Capital</v>
      </c>
      <c r="B71" s="2039"/>
      <c r="C71" s="2039"/>
      <c r="D71" s="2040"/>
      <c r="F71" s="2781" t="s">
        <v>4349</v>
      </c>
      <c r="G71" s="1355"/>
      <c r="H71" s="2781"/>
    </row>
    <row r="72" spans="1:8" s="2777" customFormat="1" ht="41.25" customHeight="1">
      <c r="A72" s="2041"/>
      <c r="B72" s="2042"/>
      <c r="C72" s="2042"/>
      <c r="D72" s="2043"/>
      <c r="E72" s="1355"/>
      <c r="F72" s="2782"/>
      <c r="G72" s="1355"/>
      <c r="H72" s="2782"/>
    </row>
    <row r="73" spans="1:8" s="2777" customFormat="1" ht="4.5" customHeight="1">
      <c r="A73" s="1355"/>
      <c r="B73" s="1355"/>
      <c r="C73" s="1355"/>
      <c r="D73" s="1355"/>
      <c r="E73" s="1355"/>
      <c r="F73" s="2782"/>
      <c r="G73" s="1355"/>
      <c r="H73" s="2782"/>
    </row>
    <row r="74" spans="1:8" s="2777" customFormat="1">
      <c r="A74" s="1358" t="s">
        <v>103</v>
      </c>
      <c r="B74" s="1362">
        <f>'Part IV-Uses of Funds'!$G$124</f>
        <v>460000</v>
      </c>
      <c r="C74" s="1358" t="s">
        <v>4193</v>
      </c>
      <c r="D74" s="1362">
        <f>'Part IV-Uses of Funds'!$J$124+'Part IV-Uses of Funds'!$M$124+'Part IV-Uses of Funds'!$P$124</f>
        <v>0</v>
      </c>
      <c r="E74" s="1355"/>
      <c r="F74" s="2782"/>
      <c r="G74" s="1355"/>
      <c r="H74" s="2782"/>
    </row>
    <row r="75" spans="1:8" s="2777" customFormat="1" ht="6" customHeight="1">
      <c r="A75" s="1355"/>
      <c r="B75" s="1356"/>
      <c r="C75" s="1355"/>
      <c r="D75" s="1355"/>
      <c r="E75" s="1355"/>
      <c r="F75" s="2783"/>
      <c r="G75" s="1357"/>
      <c r="H75" s="2783"/>
    </row>
    <row r="76" spans="1:8" s="2777" customFormat="1">
      <c r="A76" s="1364" t="s">
        <v>4198</v>
      </c>
      <c r="B76" s="1356"/>
      <c r="C76" s="1355"/>
      <c r="D76" s="1355"/>
      <c r="E76" s="1355"/>
      <c r="F76" s="1355"/>
      <c r="G76" s="1357"/>
    </row>
    <row r="77" spans="1:8" s="2777" customFormat="1" ht="41.25" customHeight="1">
      <c r="A77" s="2038" t="str">
        <f>'Part IV-Uses of Funds'!$C$128</f>
        <v>&lt;&lt; Enter description here; provide detail &amp; justification in tab Part IV-b &gt;&gt;</v>
      </c>
      <c r="B77" s="2039"/>
      <c r="C77" s="2039"/>
      <c r="D77" s="2040"/>
      <c r="F77" s="2781"/>
      <c r="G77" s="1355"/>
      <c r="H77" s="2781"/>
    </row>
    <row r="78" spans="1:8" s="2777" customFormat="1" ht="41.25" customHeight="1">
      <c r="A78" s="2041"/>
      <c r="B78" s="2042"/>
      <c r="C78" s="2042"/>
      <c r="D78" s="2043"/>
      <c r="E78" s="1355"/>
      <c r="F78" s="2782"/>
      <c r="G78" s="1355"/>
      <c r="H78" s="2782"/>
    </row>
    <row r="79" spans="1:8" s="2777" customFormat="1" ht="4.5" customHeight="1">
      <c r="A79" s="1355"/>
      <c r="B79" s="1355"/>
      <c r="C79" s="1355"/>
      <c r="D79" s="1355"/>
      <c r="E79" s="1355"/>
      <c r="F79" s="2782"/>
      <c r="G79" s="1355"/>
      <c r="H79" s="2782"/>
    </row>
    <row r="80" spans="1:8" s="2777" customFormat="1">
      <c r="A80" s="1358" t="s">
        <v>103</v>
      </c>
      <c r="B80" s="1362">
        <f>'Part IV-Uses of Funds'!$G$128</f>
        <v>0</v>
      </c>
      <c r="C80" s="1358" t="s">
        <v>4193</v>
      </c>
      <c r="D80" s="1362">
        <f>'Part IV-Uses of Funds'!$J$128+'Part IV-Uses of Funds'!$M$128+'Part IV-Uses of Funds'!$P$128</f>
        <v>0</v>
      </c>
      <c r="E80" s="1360"/>
      <c r="F80" s="2782"/>
      <c r="G80" s="1355"/>
      <c r="H80" s="2782"/>
    </row>
    <row r="81" spans="4:8" s="2777" customFormat="1" ht="6" customHeight="1">
      <c r="D81" s="1524"/>
      <c r="E81" s="2784"/>
      <c r="F81" s="2783"/>
      <c r="G81" s="1357"/>
      <c r="H81" s="2783"/>
    </row>
    <row r="82" spans="4:8" s="2777" customFormat="1"/>
    <row r="83" spans="4:8" s="2777" customFormat="1"/>
    <row r="84" spans="4:8" s="2777" customFormat="1"/>
    <row r="85" spans="4:8" s="2777" customFormat="1"/>
    <row r="86" spans="4:8" s="2777" customFormat="1"/>
    <row r="87" spans="4:8" s="2777" customFormat="1"/>
    <row r="88" spans="4:8" s="2777" customFormat="1"/>
    <row r="89" spans="4:8" s="2777" customFormat="1"/>
    <row r="90" spans="4:8" s="2777" customFormat="1"/>
    <row r="91" spans="4:8" s="2777" customFormat="1"/>
    <row r="92" spans="4:8" s="2777" customFormat="1"/>
  </sheetData>
  <sheetProtection algorithmName="SHA-512" hashValue="/LWvGmpcE21OgLINQQPFVR1HchhkBWFoLR2+K0Q4fTkKF/9qI25d3cipChmSrzRR1EF8m4U5pcT1kQt7FC6/Tg==" saltValue="4IjmKFsQVMGJ5duPs6RgZA=="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7" zoomScaleNormal="100" workbookViewId="0">
      <selection activeCell="A17"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050" t="str">
        <f>CONCATENATE("PART FIVE - UTILITY ALLOWANCES","  -  ",'Part I-Project Information'!$O$4," ",'Part I-Project Information'!$F$24,", ",'Part I-Project Information'!F28,", ",'Part I-Project Information'!J29," County")</f>
        <v>PART FIVE - UTILITY ALLOWANCES  -  2016-524 Wheat Street Tower, Atlanta, Fulton County</v>
      </c>
      <c r="B1" s="2051"/>
      <c r="C1" s="2051"/>
      <c r="D1" s="2051"/>
      <c r="E1" s="2051"/>
      <c r="F1" s="2051"/>
      <c r="G1" s="2051"/>
      <c r="H1" s="2051"/>
      <c r="I1" s="2051"/>
      <c r="J1" s="2051"/>
      <c r="K1" s="2051"/>
      <c r="L1" s="2051"/>
      <c r="M1" s="2051"/>
      <c r="N1" s="10"/>
      <c r="O1" s="10"/>
      <c r="P1" s="10"/>
      <c r="Q1" s="10"/>
      <c r="R1" s="17"/>
      <c r="S1" s="17"/>
      <c r="T1" s="17"/>
    </row>
    <row r="2" spans="1:20" s="8" customFormat="1" ht="13.5" thickBot="1"/>
    <row r="3" spans="1:20" s="8" customFormat="1" ht="13.5" thickBot="1">
      <c r="B3" s="1857" t="s">
        <v>4221</v>
      </c>
      <c r="C3" s="1858"/>
      <c r="D3" s="1859"/>
      <c r="F3" s="4" t="s">
        <v>534</v>
      </c>
      <c r="I3" s="1818" t="str">
        <f>VLOOKUP('Part I-Project Information'!$J$29,'DCA Underwriting Assumptions'!$G$141:$H$300,2)</f>
        <v>Middle</v>
      </c>
    </row>
    <row r="4" spans="1:20" s="8" customFormat="1"/>
    <row r="5" spans="1:20" s="8" customFormat="1">
      <c r="A5" s="14" t="s">
        <v>640</v>
      </c>
      <c r="B5" s="14" t="s">
        <v>2306</v>
      </c>
      <c r="F5" s="8" t="s">
        <v>2606</v>
      </c>
      <c r="I5" s="2785" t="s">
        <v>4285</v>
      </c>
      <c r="J5" s="2786"/>
      <c r="K5" s="2786"/>
      <c r="L5" s="2786"/>
      <c r="M5" s="2787"/>
    </row>
    <row r="6" spans="1:20" s="8" customFormat="1" ht="13.15" customHeight="1">
      <c r="A6" s="14"/>
      <c r="F6" s="8" t="s">
        <v>660</v>
      </c>
      <c r="H6" s="28"/>
      <c r="I6" s="2788">
        <v>42186</v>
      </c>
      <c r="J6" s="2789"/>
      <c r="K6" s="65" t="s">
        <v>559</v>
      </c>
      <c r="L6" s="2790" t="s">
        <v>4286</v>
      </c>
      <c r="M6" s="2787"/>
    </row>
    <row r="7" spans="1:20" s="8" customFormat="1" ht="6" customHeight="1">
      <c r="A7" s="14"/>
    </row>
    <row r="8" spans="1:20" s="14" customFormat="1">
      <c r="B8" s="266"/>
      <c r="C8" s="266"/>
      <c r="D8" s="266"/>
      <c r="E8" s="266"/>
      <c r="F8" s="2053" t="s">
        <v>633</v>
      </c>
      <c r="G8" s="2053"/>
      <c r="I8" s="2052" t="s">
        <v>206</v>
      </c>
      <c r="J8" s="2052"/>
      <c r="K8" s="2052"/>
      <c r="L8" s="2052"/>
      <c r="M8" s="2052"/>
    </row>
    <row r="9" spans="1:20" s="14" customFormat="1">
      <c r="B9" s="266" t="s">
        <v>830</v>
      </c>
      <c r="D9" s="266" t="s">
        <v>1657</v>
      </c>
      <c r="F9" s="1805" t="s">
        <v>666</v>
      </c>
      <c r="G9" s="1805" t="s">
        <v>1920</v>
      </c>
      <c r="I9" s="267" t="s">
        <v>587</v>
      </c>
      <c r="J9" s="268">
        <v>1</v>
      </c>
      <c r="K9" s="268">
        <v>2</v>
      </c>
      <c r="L9" s="268">
        <v>3</v>
      </c>
      <c r="M9" s="268">
        <v>4</v>
      </c>
    </row>
    <row r="10" spans="1:20" s="8" customFormat="1">
      <c r="B10" s="269" t="s">
        <v>1922</v>
      </c>
      <c r="C10" s="270"/>
      <c r="D10" s="2791" t="s">
        <v>1888</v>
      </c>
      <c r="E10" s="2792"/>
      <c r="F10" s="2793"/>
      <c r="G10" s="2793" t="s">
        <v>456</v>
      </c>
      <c r="H10" s="271"/>
      <c r="I10" s="2794"/>
      <c r="J10" s="2794"/>
      <c r="K10" s="2794"/>
      <c r="L10" s="2794"/>
      <c r="M10" s="2794"/>
      <c r="O10" s="2054" t="s">
        <v>4160</v>
      </c>
      <c r="P10" s="2054"/>
    </row>
    <row r="11" spans="1:20" s="8" customFormat="1">
      <c r="B11" s="272" t="s">
        <v>484</v>
      </c>
      <c r="C11" s="273"/>
      <c r="D11" s="272" t="s">
        <v>1653</v>
      </c>
      <c r="E11" s="273"/>
      <c r="F11" s="2795"/>
      <c r="G11" s="2795" t="s">
        <v>456</v>
      </c>
      <c r="H11" s="274"/>
      <c r="I11" s="2796"/>
      <c r="J11" s="2796"/>
      <c r="K11" s="2796"/>
      <c r="L11" s="2797"/>
      <c r="M11" s="2797"/>
      <c r="O11" s="2054"/>
      <c r="P11" s="2054"/>
    </row>
    <row r="12" spans="1:20" s="8" customFormat="1">
      <c r="B12" s="272" t="s">
        <v>1654</v>
      </c>
      <c r="C12" s="273"/>
      <c r="D12" s="2798" t="s">
        <v>1888</v>
      </c>
      <c r="E12" s="2799"/>
      <c r="F12" s="2795"/>
      <c r="G12" s="2795" t="s">
        <v>456</v>
      </c>
      <c r="H12" s="274"/>
      <c r="I12" s="2796"/>
      <c r="J12" s="2796"/>
      <c r="K12" s="2796"/>
      <c r="L12" s="2797"/>
      <c r="M12" s="2797"/>
      <c r="O12" s="2054"/>
      <c r="P12" s="2054"/>
    </row>
    <row r="13" spans="1:20" s="8" customFormat="1">
      <c r="B13" s="272" t="s">
        <v>1655</v>
      </c>
      <c r="C13" s="273"/>
      <c r="D13" s="2798" t="s">
        <v>1888</v>
      </c>
      <c r="E13" s="2799"/>
      <c r="F13" s="2795"/>
      <c r="G13" s="2795" t="s">
        <v>456</v>
      </c>
      <c r="H13" s="274"/>
      <c r="I13" s="2796"/>
      <c r="J13" s="2796"/>
      <c r="K13" s="2796"/>
      <c r="L13" s="2797"/>
      <c r="M13" s="2797"/>
      <c r="O13" s="2054"/>
      <c r="P13" s="2054"/>
    </row>
    <row r="14" spans="1:20" s="8" customFormat="1">
      <c r="B14" s="272" t="s">
        <v>1656</v>
      </c>
      <c r="C14" s="273"/>
      <c r="D14" s="272" t="s">
        <v>1653</v>
      </c>
      <c r="E14" s="275"/>
      <c r="F14" s="2795"/>
      <c r="G14" s="2795" t="s">
        <v>456</v>
      </c>
      <c r="H14" s="274"/>
      <c r="I14" s="2796"/>
      <c r="J14" s="2796"/>
      <c r="K14" s="2796"/>
      <c r="L14" s="2797"/>
      <c r="M14" s="2797"/>
      <c r="O14" s="2054"/>
      <c r="P14" s="2054"/>
    </row>
    <row r="15" spans="1:20" s="8" customFormat="1">
      <c r="B15" s="272" t="s">
        <v>1420</v>
      </c>
      <c r="C15" s="273"/>
      <c r="D15" s="846" t="s">
        <v>3729</v>
      </c>
      <c r="E15" s="2800" t="s">
        <v>207</v>
      </c>
      <c r="F15" s="2795"/>
      <c r="G15" s="2795" t="s">
        <v>456</v>
      </c>
      <c r="H15" s="274"/>
      <c r="I15" s="2796"/>
      <c r="J15" s="2796"/>
      <c r="K15" s="2796"/>
      <c r="L15" s="2797"/>
      <c r="M15" s="2797"/>
      <c r="O15" s="2054"/>
      <c r="P15" s="2054"/>
    </row>
    <row r="16" spans="1:20" s="8" customFormat="1">
      <c r="B16" s="276" t="s">
        <v>1921</v>
      </c>
      <c r="C16" s="277"/>
      <c r="D16" s="276"/>
      <c r="E16" s="243"/>
      <c r="F16" s="2801"/>
      <c r="G16" s="2801" t="s">
        <v>456</v>
      </c>
      <c r="H16" s="278"/>
      <c r="I16" s="2802"/>
      <c r="J16" s="2802"/>
      <c r="K16" s="2802"/>
      <c r="L16" s="2803"/>
      <c r="M16" s="2803"/>
      <c r="O16" s="2054"/>
      <c r="P16" s="2054"/>
    </row>
    <row r="17" spans="1:19" s="8" customFormat="1">
      <c r="B17" s="266" t="s">
        <v>1057</v>
      </c>
      <c r="D17" s="28"/>
      <c r="E17" s="28"/>
      <c r="F17" s="85"/>
      <c r="G17" s="85"/>
      <c r="I17" s="1805">
        <f>IF(SUM(I10:I16)=0,0,IF(OR($D10="&lt;&lt;Select Fuel &gt;&gt;",$D12="&lt;&lt;Select Fuel &gt;&gt;",$D13="&lt;&lt;Select Fuel &gt;&gt;"),"Select Fuel",IF($E15="&lt;Select&gt;","Submeter?",SUM(I10:I16))))</f>
        <v>0</v>
      </c>
      <c r="J17" s="1805">
        <f>IF(SUM(J10:J16)=0,0,IF(OR($D10="&lt;&lt;Select Fuel &gt;&gt;",$D12="&lt;&lt;Select Fuel &gt;&gt;",$D13="&lt;&lt;Select Fuel &gt;&gt;"),"Select Fuel",IF($E15="&lt;Select&gt;","Submeter?",SUM(J10:J16))))</f>
        <v>0</v>
      </c>
      <c r="K17" s="1805">
        <f>IF(SUM(K10:K16)=0,0,IF(OR($D10="&lt;&lt;Select Fuel &gt;&gt;",$D12="&lt;&lt;Select Fuel &gt;&gt;",$D13="&lt;&lt;Select Fuel &gt;&gt;"),"Select Fuel",IF($E15="&lt;Select&gt;","Submeter?",SUM(K10:K16))))</f>
        <v>0</v>
      </c>
      <c r="L17" s="1805">
        <f>IF(SUM(L10:L16)=0,0,IF(OR($D10="&lt;&lt;Select Fuel &gt;&gt;",$D12="&lt;&lt;Select Fuel &gt;&gt;",$D13="&lt;&lt;Select Fuel &gt;&gt;"),"Select Fuel",IF($E15="&lt;Select&gt;","Submeter?",SUM(L10:L16))))</f>
        <v>0</v>
      </c>
      <c r="M17" s="1805">
        <f>IF(SUM(M10:M16)=0,0,IF(OR($D10="&lt;&lt;Select Fuel &gt;&gt;",$D12="&lt;&lt;Select Fuel &gt;&gt;",$D13="&lt;&lt;Select Fuel &gt;&gt;"),"Select Fuel",IF($E15="&lt;Select&gt;","Submeter?",SUM(M10:M16))))</f>
        <v>0</v>
      </c>
    </row>
    <row r="18" spans="1:19" s="8" customFormat="1">
      <c r="B18" s="485" t="s">
        <v>3730</v>
      </c>
      <c r="D18" s="28"/>
      <c r="E18" s="28"/>
      <c r="F18" s="85"/>
      <c r="G18" s="85"/>
      <c r="I18" s="1805"/>
      <c r="J18" s="1805"/>
      <c r="K18" s="1805"/>
      <c r="L18" s="1805"/>
      <c r="M18" s="1805"/>
    </row>
    <row r="19" spans="1:19" s="8" customFormat="1" ht="11.25" customHeight="1">
      <c r="M19" s="28"/>
      <c r="N19" s="28"/>
      <c r="O19" s="28"/>
      <c r="P19" s="28"/>
      <c r="Q19" s="28"/>
      <c r="R19" s="28"/>
      <c r="S19" s="28"/>
    </row>
    <row r="20" spans="1:19" s="8" customFormat="1">
      <c r="A20" s="14" t="s">
        <v>770</v>
      </c>
      <c r="B20" s="14" t="s">
        <v>2307</v>
      </c>
      <c r="F20" s="8" t="s">
        <v>2606</v>
      </c>
      <c r="I20" s="2790"/>
      <c r="J20" s="2786"/>
      <c r="K20" s="2786"/>
      <c r="L20" s="2786"/>
      <c r="M20" s="2787"/>
    </row>
    <row r="21" spans="1:19" s="8" customFormat="1" ht="13.15" customHeight="1">
      <c r="A21" s="14"/>
      <c r="B21" s="14"/>
      <c r="F21" s="8" t="s">
        <v>660</v>
      </c>
      <c r="H21" s="28"/>
      <c r="I21" s="2788"/>
      <c r="J21" s="2789"/>
      <c r="K21" s="65" t="s">
        <v>559</v>
      </c>
      <c r="L21" s="2790"/>
      <c r="M21" s="2787"/>
    </row>
    <row r="22" spans="1:19" s="8" customFormat="1" ht="6" customHeight="1">
      <c r="A22" s="14"/>
    </row>
    <row r="23" spans="1:19" s="14" customFormat="1">
      <c r="B23" s="266"/>
      <c r="C23" s="266"/>
      <c r="D23" s="266"/>
      <c r="E23" s="266"/>
      <c r="F23" s="2053" t="s">
        <v>633</v>
      </c>
      <c r="G23" s="2053"/>
      <c r="I23" s="2052" t="s">
        <v>206</v>
      </c>
      <c r="J23" s="2052"/>
      <c r="K23" s="2052"/>
      <c r="L23" s="2052"/>
      <c r="M23" s="2052"/>
    </row>
    <row r="24" spans="1:19" s="14" customFormat="1">
      <c r="B24" s="266" t="s">
        <v>830</v>
      </c>
      <c r="D24" s="266" t="s">
        <v>1657</v>
      </c>
      <c r="F24" s="1805" t="s">
        <v>666</v>
      </c>
      <c r="G24" s="1805" t="s">
        <v>1920</v>
      </c>
      <c r="I24" s="267" t="s">
        <v>587</v>
      </c>
      <c r="J24" s="268">
        <v>1</v>
      </c>
      <c r="K24" s="268">
        <v>2</v>
      </c>
      <c r="L24" s="268">
        <v>3</v>
      </c>
      <c r="M24" s="268">
        <v>4</v>
      </c>
    </row>
    <row r="25" spans="1:19" s="8" customFormat="1">
      <c r="B25" s="269" t="s">
        <v>1922</v>
      </c>
      <c r="C25" s="270"/>
      <c r="D25" s="2791" t="s">
        <v>1888</v>
      </c>
      <c r="E25" s="2792"/>
      <c r="F25" s="2793"/>
      <c r="G25" s="2793"/>
      <c r="H25" s="271"/>
      <c r="I25" s="2794"/>
      <c r="J25" s="2794"/>
      <c r="K25" s="2794"/>
      <c r="L25" s="2794"/>
      <c r="M25" s="2794"/>
      <c r="O25" s="2054" t="s">
        <v>4160</v>
      </c>
      <c r="P25" s="2054"/>
    </row>
    <row r="26" spans="1:19" s="8" customFormat="1">
      <c r="B26" s="272" t="s">
        <v>484</v>
      </c>
      <c r="C26" s="273"/>
      <c r="D26" s="272" t="s">
        <v>1653</v>
      </c>
      <c r="E26" s="273"/>
      <c r="F26" s="2795"/>
      <c r="G26" s="2795"/>
      <c r="H26" s="274"/>
      <c r="I26" s="2796"/>
      <c r="J26" s="2796"/>
      <c r="K26" s="2796"/>
      <c r="L26" s="2797"/>
      <c r="M26" s="2797"/>
      <c r="O26" s="2054"/>
      <c r="P26" s="2054"/>
    </row>
    <row r="27" spans="1:19" s="8" customFormat="1">
      <c r="B27" s="272" t="s">
        <v>1654</v>
      </c>
      <c r="C27" s="273"/>
      <c r="D27" s="2798" t="s">
        <v>1888</v>
      </c>
      <c r="E27" s="2799"/>
      <c r="F27" s="2795"/>
      <c r="G27" s="2795"/>
      <c r="H27" s="274"/>
      <c r="I27" s="2796"/>
      <c r="J27" s="2796"/>
      <c r="K27" s="2796"/>
      <c r="L27" s="2797"/>
      <c r="M27" s="2797"/>
      <c r="O27" s="2054"/>
      <c r="P27" s="2054"/>
    </row>
    <row r="28" spans="1:19" s="8" customFormat="1">
      <c r="B28" s="272" t="s">
        <v>1655</v>
      </c>
      <c r="C28" s="273"/>
      <c r="D28" s="2798" t="s">
        <v>1888</v>
      </c>
      <c r="E28" s="2799"/>
      <c r="F28" s="2795"/>
      <c r="G28" s="2795"/>
      <c r="H28" s="274"/>
      <c r="I28" s="2796"/>
      <c r="J28" s="2796"/>
      <c r="K28" s="2796"/>
      <c r="L28" s="2797"/>
      <c r="M28" s="2797"/>
      <c r="O28" s="2054"/>
      <c r="P28" s="2054"/>
    </row>
    <row r="29" spans="1:19" s="8" customFormat="1">
      <c r="B29" s="272" t="s">
        <v>1656</v>
      </c>
      <c r="C29" s="273"/>
      <c r="D29" s="272" t="s">
        <v>1653</v>
      </c>
      <c r="E29" s="275"/>
      <c r="F29" s="2795"/>
      <c r="G29" s="2795"/>
      <c r="H29" s="274"/>
      <c r="I29" s="2796"/>
      <c r="J29" s="2796"/>
      <c r="K29" s="2796"/>
      <c r="L29" s="2797"/>
      <c r="M29" s="2797"/>
      <c r="O29" s="2054"/>
      <c r="P29" s="2054"/>
    </row>
    <row r="30" spans="1:19" s="8" customFormat="1">
      <c r="B30" s="272" t="s">
        <v>1420</v>
      </c>
      <c r="C30" s="273"/>
      <c r="D30" s="846" t="s">
        <v>3729</v>
      </c>
      <c r="E30" s="2800" t="s">
        <v>207</v>
      </c>
      <c r="F30" s="2795"/>
      <c r="G30" s="2795"/>
      <c r="H30" s="274"/>
      <c r="I30" s="2796"/>
      <c r="J30" s="2796"/>
      <c r="K30" s="2796"/>
      <c r="L30" s="2797"/>
      <c r="M30" s="2797"/>
      <c r="O30" s="2054"/>
      <c r="P30" s="2054"/>
    </row>
    <row r="31" spans="1:19" s="8" customFormat="1">
      <c r="B31" s="276" t="s">
        <v>1921</v>
      </c>
      <c r="C31" s="277"/>
      <c r="D31" s="276"/>
      <c r="E31" s="243"/>
      <c r="F31" s="2801"/>
      <c r="G31" s="2801"/>
      <c r="H31" s="278"/>
      <c r="I31" s="2802"/>
      <c r="J31" s="2802"/>
      <c r="K31" s="2802"/>
      <c r="L31" s="2803"/>
      <c r="M31" s="2803"/>
      <c r="O31" s="2054"/>
      <c r="P31" s="2054"/>
    </row>
    <row r="32" spans="1:19" s="8" customFormat="1">
      <c r="B32" s="266" t="s">
        <v>1057</v>
      </c>
      <c r="D32" s="28"/>
      <c r="E32" s="28"/>
      <c r="F32" s="85"/>
      <c r="G32" s="85"/>
      <c r="I32" s="1805">
        <f>IF(SUM(I25:I31)=0,0,IF(OR($D25="&lt;&lt;Select Fuel &gt;&gt;",$D27="&lt;&lt;Select Fuel &gt;&gt;",$D28="&lt;&lt;Select Fuel &gt;&gt;"),"Select Fuel",IF($E30="&lt;Select&gt;","Submeter?",SUM(I25:I31))))</f>
        <v>0</v>
      </c>
      <c r="J32" s="1805">
        <f>IF(SUM(J25:J31)=0,0,IF(OR($D25="&lt;&lt;Select Fuel &gt;&gt;",$D27="&lt;&lt;Select Fuel &gt;&gt;",$D28="&lt;&lt;Select Fuel &gt;&gt;"),"Select Fuel",IF($E30="&lt;Select&gt;","Submeter?",SUM(J25:J31))))</f>
        <v>0</v>
      </c>
      <c r="K32" s="1805">
        <f>IF(SUM(K25:K31)=0,0,IF(OR($D25="&lt;&lt;Select Fuel &gt;&gt;",$D27="&lt;&lt;Select Fuel &gt;&gt;",$D28="&lt;&lt;Select Fuel &gt;&gt;"),"Select Fuel",IF($E30="&lt;Select&gt;","Submeter?",SUM(K25:K31))))</f>
        <v>0</v>
      </c>
      <c r="L32" s="1805">
        <f>IF(SUM(L25:L31)=0,0,IF(OR($D25="&lt;&lt;Select Fuel &gt;&gt;",$D27="&lt;&lt;Select Fuel &gt;&gt;",$D28="&lt;&lt;Select Fuel &gt;&gt;"),"Select Fuel",IF($E30="&lt;Select&gt;","Submeter?",SUM(L25:L31))))</f>
        <v>0</v>
      </c>
      <c r="M32" s="1805">
        <f>IF(SUM(M25:M31)=0,0,IF(OR($D25="&lt;&lt;Select Fuel &gt;&gt;",$D27="&lt;&lt;Select Fuel &gt;&gt;",$D28="&lt;&lt;Select Fuel &gt;&gt;"),"Select Fuel",IF($E30="&lt;Select&gt;","Submeter?",SUM(M25:M31))))</f>
        <v>0</v>
      </c>
    </row>
    <row r="33" spans="1:19" s="8" customFormat="1">
      <c r="B33" s="485" t="s">
        <v>3730</v>
      </c>
      <c r="D33" s="28"/>
      <c r="E33" s="28"/>
      <c r="F33" s="85"/>
      <c r="G33" s="85"/>
      <c r="I33" s="1805"/>
      <c r="J33" s="1805"/>
      <c r="K33" s="1805"/>
      <c r="L33" s="1805"/>
      <c r="M33" s="1805"/>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804" t="s">
        <v>4288</v>
      </c>
      <c r="C38" s="2805"/>
      <c r="D38" s="2805"/>
      <c r="E38" s="2805"/>
      <c r="F38" s="2805"/>
      <c r="G38" s="2805"/>
      <c r="H38" s="2805"/>
      <c r="I38" s="2805"/>
      <c r="J38" s="2805"/>
      <c r="K38" s="2805"/>
      <c r="L38" s="2805"/>
      <c r="M38" s="2806"/>
      <c r="N38" s="28"/>
      <c r="O38" s="1837" t="s">
        <v>2796</v>
      </c>
      <c r="P38" s="1837"/>
      <c r="Q38" s="1837"/>
      <c r="R38" s="1837"/>
      <c r="S38" s="1837"/>
    </row>
    <row r="39" spans="1:19" s="8" customFormat="1" ht="3" customHeight="1">
      <c r="M39" s="28"/>
      <c r="N39" s="28"/>
      <c r="O39" s="1837"/>
      <c r="P39" s="1837"/>
      <c r="Q39" s="1837"/>
      <c r="R39" s="1837"/>
      <c r="S39" s="1837"/>
    </row>
    <row r="40" spans="1:19" s="8" customFormat="1" ht="12" customHeight="1">
      <c r="A40" s="14"/>
      <c r="B40" s="14" t="s">
        <v>1915</v>
      </c>
      <c r="M40" s="28"/>
      <c r="N40" s="28"/>
      <c r="O40" s="1837"/>
      <c r="P40" s="1837"/>
      <c r="Q40" s="1837"/>
      <c r="R40" s="1837"/>
      <c r="S40" s="1837"/>
    </row>
    <row r="41" spans="1:19" s="8" customFormat="1" ht="24.75" customHeight="1">
      <c r="B41" s="2807"/>
      <c r="C41" s="2808"/>
      <c r="D41" s="2808"/>
      <c r="E41" s="2808"/>
      <c r="F41" s="2808"/>
      <c r="G41" s="2808"/>
      <c r="H41" s="2808"/>
      <c r="I41" s="2808"/>
      <c r="J41" s="2808"/>
      <c r="K41" s="2808"/>
      <c r="L41" s="2808"/>
      <c r="M41" s="2809"/>
      <c r="N41" s="28"/>
      <c r="O41" s="1837"/>
      <c r="P41" s="1837"/>
      <c r="Q41" s="1837"/>
      <c r="R41" s="1837"/>
      <c r="S41" s="1837"/>
    </row>
  </sheetData>
  <sheetProtection algorithmName="SHA-512" hashValue="IeAngG30Qp+WcJkgm2Ht70JU2J5l6p53IIpJTjGFIoKfFIYB5DeKgWtKJHjKy4ElLm/F/DGFduqGNlLN/Lo3Og==" saltValue="DXdA38pFxawmWoNrK0PEzw=="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2017-02-10T20:58:07Z</cp:lastPrinted>
  <dcterms:created xsi:type="dcterms:W3CDTF">2005-09-15T20:51:37Z</dcterms:created>
  <dcterms:modified xsi:type="dcterms:W3CDTF">2017-06-14T16:04:16Z</dcterms:modified>
</cp:coreProperties>
</file>